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8_{682F4D49-9706-4060-B9DA-3727C2241DF9}" xr6:coauthVersionLast="47" xr6:coauthVersionMax="47" xr10:uidLastSave="{00000000-0000-0000-0000-000000000000}"/>
  <bookViews>
    <workbookView xWindow="-120" yWindow="-120" windowWidth="29040" windowHeight="15840" firstSheet="1" activeTab="9" xr2:uid="{00000000-000D-0000-FFFF-FFFF00000000}"/>
  </bookViews>
  <sheets>
    <sheet name="cadru initial" sheetId="30" r:id="rId1"/>
    <sheet name="P1 (GJ)" sheetId="20" r:id="rId2"/>
    <sheet name="P2 (HD)" sheetId="21" r:id="rId3"/>
    <sheet name="P3 (DJ)" sheetId="22" r:id="rId4"/>
    <sheet name="P4 (GL)" sheetId="23" r:id="rId5"/>
    <sheet name="P5 (PH)" sheetId="24" r:id="rId6"/>
    <sheet name="P6 (MS)" sheetId="25" r:id="rId7"/>
    <sheet name="P7 (AT)" sheetId="26" r:id="rId8"/>
    <sheet name="P8 (STEP)" sheetId="27" r:id="rId9"/>
    <sheet name="P 9 (Locuinte accesibile)" sheetId="33" r:id="rId10"/>
    <sheet name="Coduri interventie" sheetId="11" r:id="rId11"/>
    <sheet name="Cod indicatori" sheetId="12" r:id="rId12"/>
    <sheet name="SCHEMA PROGRAMULUI" sheetId="9" r:id="rId13"/>
  </sheets>
  <externalReferences>
    <externalReference r:id="rId14"/>
  </externalReferences>
  <definedNames>
    <definedName name="_xlnm._FilterDatabase" localSheetId="0" hidden="1">'cadru initial'!$A$1:$P$249</definedName>
    <definedName name="_xlnm._FilterDatabase" localSheetId="11" hidden="1">'Cod indicatori'!$A$1:$B$1</definedName>
    <definedName name="_xlnm._FilterDatabase" localSheetId="1" hidden="1">'P1 (GJ)'!$A$2:$T$31</definedName>
    <definedName name="_xlnm._FilterDatabase" localSheetId="2" hidden="1">'P2 (HD)'!$A$2:$T$38</definedName>
    <definedName name="_xlnm._FilterDatabase" localSheetId="3" hidden="1">'P3 (DJ)'!$A$2:$S$32</definedName>
    <definedName name="_xlnm._FilterDatabase" localSheetId="4" hidden="1">'P4 (GL)'!$A$2:$T$30</definedName>
    <definedName name="_xlnm._FilterDatabase" localSheetId="5" hidden="1">'P5 (PH)'!$A$2:$Q$28</definedName>
    <definedName name="_xlnm._FilterDatabase" localSheetId="6" hidden="1">'P6 (MS)'!$A$2:$Q$30</definedName>
    <definedName name="_xlnm._FilterDatabase" localSheetId="7" hidden="1">'P7 (AT)'!$A$2:$M$12</definedName>
    <definedName name="_xlnm._FilterDatabase" localSheetId="8" hidden="1">'P8 (STEP)'!$A$2:$Q$16</definedName>
    <definedName name="_xlnm.Print_Area" localSheetId="1">'P1 (GJ)'!$A$2:$L$31</definedName>
    <definedName name="_xlnm.Print_Area" localSheetId="3">'P3 (DJ)'!$B$2:$L$32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33" l="1"/>
  <c r="E14" i="33"/>
  <c r="E13" i="33"/>
  <c r="F12" i="33"/>
  <c r="F10" i="33"/>
  <c r="K28" i="33"/>
  <c r="K22" i="33"/>
  <c r="K18" i="33"/>
  <c r="K17" i="33"/>
  <c r="D10" i="33"/>
  <c r="J28" i="22"/>
  <c r="J20" i="22"/>
  <c r="U20" i="22" s="1"/>
  <c r="F20" i="22"/>
  <c r="E20" i="22" s="1"/>
  <c r="F21" i="22"/>
  <c r="E21" i="22" s="1"/>
  <c r="J21" i="22"/>
  <c r="P21" i="22" s="1"/>
  <c r="S47" i="21"/>
  <c r="N50" i="21"/>
  <c r="N51" i="21"/>
  <c r="J25" i="22"/>
  <c r="P20" i="22" l="1"/>
  <c r="E19" i="33"/>
  <c r="K18" i="23"/>
  <c r="K14" i="23"/>
  <c r="J15" i="22"/>
  <c r="D200" i="30"/>
  <c r="O40" i="25" l="1"/>
  <c r="O39" i="25"/>
  <c r="O38" i="25"/>
  <c r="O35" i="25"/>
  <c r="O34" i="25"/>
  <c r="K43" i="25"/>
  <c r="K42" i="25"/>
  <c r="K40" i="25"/>
  <c r="K39" i="25"/>
  <c r="K36" i="25"/>
  <c r="K35" i="25"/>
  <c r="K34" i="25"/>
  <c r="P35" i="24"/>
  <c r="P34" i="24"/>
  <c r="P31" i="24"/>
  <c r="P30" i="24"/>
  <c r="L38" i="24"/>
  <c r="L37" i="24"/>
  <c r="L36" i="24"/>
  <c r="L35" i="24"/>
  <c r="L32" i="24"/>
  <c r="L31" i="24"/>
  <c r="L30" i="24"/>
  <c r="E10" i="33"/>
  <c r="N46" i="23" l="1"/>
  <c r="S42" i="23"/>
  <c r="S41" i="23"/>
  <c r="S38" i="23"/>
  <c r="S37" i="23"/>
  <c r="N45" i="23"/>
  <c r="N43" i="23"/>
  <c r="N42" i="23"/>
  <c r="N39" i="23"/>
  <c r="R40" i="22"/>
  <c r="R39" i="22"/>
  <c r="M44" i="22"/>
  <c r="M43" i="22"/>
  <c r="M41" i="22"/>
  <c r="S41" i="21"/>
  <c r="N43" i="21"/>
  <c r="S42" i="20"/>
  <c r="S41" i="20"/>
  <c r="Q45" i="20"/>
  <c r="Q38" i="20"/>
  <c r="K30" i="33"/>
  <c r="K24" i="33"/>
  <c r="D6" i="33" l="1"/>
  <c r="D7" i="33" s="1"/>
  <c r="F8" i="33"/>
  <c r="F6" i="33" s="1"/>
  <c r="E9" i="33"/>
  <c r="D18" i="33"/>
  <c r="D17" i="33"/>
  <c r="D16" i="33"/>
  <c r="D15" i="33"/>
  <c r="F14" i="33"/>
  <c r="D14" i="33"/>
  <c r="D13" i="33"/>
  <c r="N9" i="33"/>
  <c r="N8" i="33"/>
  <c r="E4" i="33"/>
  <c r="J27" i="22"/>
  <c r="J22" i="22"/>
  <c r="P22" i="22" s="1"/>
  <c r="F23" i="20"/>
  <c r="E23" i="20" s="1"/>
  <c r="J23" i="20"/>
  <c r="K23" i="20"/>
  <c r="F24" i="20"/>
  <c r="E24" i="20" s="1"/>
  <c r="J24" i="20"/>
  <c r="K24" i="20"/>
  <c r="Q24" i="20" s="1"/>
  <c r="Q44" i="20" s="1"/>
  <c r="G30" i="20"/>
  <c r="H30" i="20"/>
  <c r="I30" i="20"/>
  <c r="K17" i="21"/>
  <c r="K30" i="21"/>
  <c r="K25" i="21"/>
  <c r="J29" i="22"/>
  <c r="J19" i="22"/>
  <c r="P19" i="22" s="1"/>
  <c r="J17" i="22"/>
  <c r="P17" i="22" s="1"/>
  <c r="M40" i="22"/>
  <c r="J14" i="22"/>
  <c r="Q23" i="20" l="1"/>
  <c r="Q41" i="20" s="1"/>
  <c r="V23" i="20"/>
  <c r="S39" i="20" s="1"/>
  <c r="F7" i="33"/>
  <c r="D19" i="33"/>
  <c r="E8" i="33"/>
  <c r="E5" i="33" s="1"/>
  <c r="D5" i="33"/>
  <c r="F5" i="33"/>
  <c r="R38" i="22"/>
  <c r="K29" i="20"/>
  <c r="U18" i="22"/>
  <c r="P18" i="22"/>
  <c r="M39" i="22" s="1"/>
  <c r="U12" i="22"/>
  <c r="U11" i="22"/>
  <c r="R35" i="22" s="1"/>
  <c r="U10" i="22"/>
  <c r="U8" i="22"/>
  <c r="R34" i="22" s="1"/>
  <c r="P12" i="22"/>
  <c r="M37" i="22" s="1"/>
  <c r="P11" i="22"/>
  <c r="P10" i="22"/>
  <c r="P9" i="22"/>
  <c r="M36" i="22" s="1"/>
  <c r="P8" i="22"/>
  <c r="M35" i="22" l="1"/>
  <c r="E6" i="33"/>
  <c r="E7" i="33" s="1"/>
  <c r="K28" i="21"/>
  <c r="K20" i="21"/>
  <c r="K22" i="21"/>
  <c r="V21" i="20"/>
  <c r="K26" i="23"/>
  <c r="K25" i="23"/>
  <c r="K23" i="23"/>
  <c r="K17" i="23"/>
  <c r="K22" i="23"/>
  <c r="V21" i="23"/>
  <c r="Q21" i="23"/>
  <c r="V10" i="23"/>
  <c r="V8" i="23"/>
  <c r="Q10" i="23"/>
  <c r="Q9" i="23"/>
  <c r="N37" i="23" s="1"/>
  <c r="Q8" i="23"/>
  <c r="Q26" i="20"/>
  <c r="Q22" i="20"/>
  <c r="Q21" i="20"/>
  <c r="Q20" i="20"/>
  <c r="Q39" i="20" s="1"/>
  <c r="V15" i="20"/>
  <c r="V14" i="20"/>
  <c r="S36" i="20" s="1"/>
  <c r="Q15" i="20"/>
  <c r="Q37" i="20" s="1"/>
  <c r="Q14" i="20"/>
  <c r="V10" i="20"/>
  <c r="V8" i="20"/>
  <c r="S34" i="20" s="1"/>
  <c r="Q10" i="20"/>
  <c r="Q9" i="20"/>
  <c r="Q36" i="20" s="1"/>
  <c r="Q8" i="20"/>
  <c r="V23" i="21"/>
  <c r="S45" i="21" s="1"/>
  <c r="V21" i="21"/>
  <c r="V15" i="21"/>
  <c r="V14" i="21"/>
  <c r="S42" i="21" s="1"/>
  <c r="Q24" i="21"/>
  <c r="N47" i="21" s="1"/>
  <c r="Q23" i="21"/>
  <c r="N46" i="21" s="1"/>
  <c r="Q21" i="21"/>
  <c r="Q15" i="21"/>
  <c r="N42" i="21" s="1"/>
  <c r="Q14" i="21"/>
  <c r="K20" i="23"/>
  <c r="Q35" i="20" l="1"/>
  <c r="I26" i="24"/>
  <c r="H26" i="24"/>
  <c r="G26" i="24"/>
  <c r="F26" i="24"/>
  <c r="E26" i="24"/>
  <c r="D26" i="24"/>
  <c r="K8" i="23"/>
  <c r="K7" i="23" s="1"/>
  <c r="J24" i="22" l="1"/>
  <c r="K20" i="20"/>
  <c r="K26" i="20"/>
  <c r="K8" i="20"/>
  <c r="J18" i="22"/>
  <c r="J13" i="22"/>
  <c r="J11" i="22"/>
  <c r="J8" i="22"/>
  <c r="J16" i="22" l="1"/>
  <c r="J7" i="22"/>
  <c r="J5" i="22" l="1"/>
  <c r="K27" i="21"/>
  <c r="K21" i="21"/>
  <c r="K24" i="21" l="1"/>
  <c r="K23" i="21"/>
  <c r="K19" i="21" l="1"/>
  <c r="K18" i="21"/>
  <c r="K14" i="21"/>
  <c r="K16" i="21" l="1"/>
  <c r="I29" i="21" l="1"/>
  <c r="H29" i="21"/>
  <c r="F29" i="21"/>
  <c r="G29" i="21"/>
  <c r="K8" i="21"/>
  <c r="K7" i="21" l="1"/>
  <c r="K5" i="21" s="1"/>
  <c r="J28" i="21" l="1"/>
  <c r="J25" i="21"/>
  <c r="Q25" i="21" s="1"/>
  <c r="J24" i="21"/>
  <c r="J23" i="21"/>
  <c r="J22" i="21"/>
  <c r="Q22" i="21" s="1"/>
  <c r="J20" i="21"/>
  <c r="Q20" i="21" s="1"/>
  <c r="J18" i="21"/>
  <c r="J17" i="21"/>
  <c r="J14" i="21"/>
  <c r="J8" i="21"/>
  <c r="J25" i="24"/>
  <c r="J21" i="24"/>
  <c r="J20" i="24"/>
  <c r="J19" i="24"/>
  <c r="J18" i="24"/>
  <c r="J17" i="24"/>
  <c r="J15" i="24"/>
  <c r="J14" i="24"/>
  <c r="J11" i="24"/>
  <c r="J8" i="24"/>
  <c r="K22" i="20"/>
  <c r="K21" i="20"/>
  <c r="K18" i="20"/>
  <c r="K17" i="20"/>
  <c r="K14" i="20"/>
  <c r="K7" i="20" s="1"/>
  <c r="N44" i="21" l="1"/>
  <c r="V10" i="21"/>
  <c r="Q9" i="21"/>
  <c r="N41" i="21" s="1"/>
  <c r="V8" i="21"/>
  <c r="S39" i="21" s="1"/>
  <c r="Q8" i="21"/>
  <c r="N40" i="21" s="1"/>
  <c r="Q10" i="21"/>
  <c r="V28" i="21"/>
  <c r="S46" i="21" s="1"/>
  <c r="Q28" i="21"/>
  <c r="N49" i="21" s="1"/>
  <c r="K16" i="20"/>
  <c r="K19" i="20"/>
  <c r="K28" i="20" l="1"/>
  <c r="K5" i="20" s="1"/>
  <c r="J29" i="20"/>
  <c r="J22" i="20"/>
  <c r="J21" i="20"/>
  <c r="J20" i="20"/>
  <c r="J18" i="20"/>
  <c r="J17" i="20"/>
  <c r="J14" i="20"/>
  <c r="J8" i="20"/>
  <c r="V29" i="20" l="1"/>
  <c r="S38" i="20" s="1"/>
  <c r="Q29" i="20"/>
  <c r="Q40" i="20" s="1"/>
  <c r="K21" i="23"/>
  <c r="K24" i="23"/>
  <c r="K29" i="23"/>
  <c r="K28" i="23" s="1"/>
  <c r="K16" i="23"/>
  <c r="J29" i="23"/>
  <c r="J21" i="23"/>
  <c r="J23" i="23"/>
  <c r="J24" i="23"/>
  <c r="J26" i="23"/>
  <c r="J20" i="23"/>
  <c r="Q20" i="23" s="1"/>
  <c r="J18" i="23"/>
  <c r="J17" i="23"/>
  <c r="J14" i="23"/>
  <c r="J8" i="23"/>
  <c r="O15" i="22"/>
  <c r="P15" i="22" s="1"/>
  <c r="M34" i="22" s="1"/>
  <c r="I7" i="27"/>
  <c r="E7" i="27"/>
  <c r="F7" i="27"/>
  <c r="Q27" i="23" l="1"/>
  <c r="N44" i="23" s="1"/>
  <c r="Q26" i="23"/>
  <c r="N41" i="23" s="1"/>
  <c r="Q14" i="23"/>
  <c r="N36" i="23" s="1"/>
  <c r="V15" i="23"/>
  <c r="S36" i="23" s="1"/>
  <c r="Q15" i="23"/>
  <c r="N38" i="23" s="1"/>
  <c r="K19" i="23"/>
  <c r="K5" i="23" l="1"/>
  <c r="H11" i="27" l="1"/>
  <c r="H12" i="27"/>
  <c r="H13" i="27"/>
  <c r="I5" i="27"/>
  <c r="I6" i="27" s="1"/>
  <c r="N15" i="24"/>
  <c r="L29" i="24" s="1"/>
  <c r="I22" i="24"/>
  <c r="J22" i="24" s="1"/>
  <c r="H15" i="25" l="1"/>
  <c r="H14" i="25"/>
  <c r="H15" i="24"/>
  <c r="H14" i="24"/>
  <c r="H8" i="23"/>
  <c r="H22" i="22"/>
  <c r="H19" i="22"/>
  <c r="H17" i="22"/>
  <c r="H15" i="22"/>
  <c r="H14" i="22"/>
  <c r="R15" i="25" l="1"/>
  <c r="O33" i="25" s="1"/>
  <c r="M15" i="25"/>
  <c r="K33" i="25" s="1"/>
  <c r="R15" i="24"/>
  <c r="P29" i="24" s="1"/>
  <c r="U18" i="23"/>
  <c r="V18" i="23" s="1"/>
  <c r="S35" i="23" s="1"/>
  <c r="P18" i="23"/>
  <c r="Q18" i="23" s="1"/>
  <c r="N35" i="23" s="1"/>
  <c r="T15" i="22"/>
  <c r="U15" i="22" s="1"/>
  <c r="R33" i="22" s="1"/>
  <c r="U18" i="21"/>
  <c r="V18" i="21" s="1"/>
  <c r="S40" i="21" s="1"/>
  <c r="P18" i="21"/>
  <c r="Q18" i="21" s="1"/>
  <c r="N39" i="21" s="1"/>
  <c r="U18" i="20"/>
  <c r="V18" i="20" s="1"/>
  <c r="S35" i="20" s="1"/>
  <c r="P18" i="20"/>
  <c r="Q18" i="20" s="1"/>
  <c r="Q34" i="20" s="1"/>
  <c r="H18" i="20" l="1"/>
  <c r="G26" i="25" l="1"/>
  <c r="H26" i="25"/>
  <c r="I26" i="25"/>
  <c r="G24" i="25"/>
  <c r="H24" i="25"/>
  <c r="I24" i="25"/>
  <c r="H22" i="25"/>
  <c r="G16" i="25"/>
  <c r="H19" i="25"/>
  <c r="H17" i="25"/>
  <c r="G13" i="25"/>
  <c r="G7" i="25"/>
  <c r="H7" i="25"/>
  <c r="I7" i="25"/>
  <c r="G24" i="24"/>
  <c r="H24" i="24"/>
  <c r="I24" i="24"/>
  <c r="G16" i="24"/>
  <c r="G7" i="24"/>
  <c r="H7" i="24"/>
  <c r="I7" i="24"/>
  <c r="H22" i="24"/>
  <c r="H19" i="24"/>
  <c r="H17" i="24"/>
  <c r="G13" i="24"/>
  <c r="G28" i="23"/>
  <c r="H28" i="23"/>
  <c r="I28" i="23"/>
  <c r="H26" i="23"/>
  <c r="G19" i="23"/>
  <c r="G16" i="22"/>
  <c r="H25" i="21"/>
  <c r="G19" i="20"/>
  <c r="H20" i="23"/>
  <c r="G16" i="23"/>
  <c r="H17" i="23"/>
  <c r="G7" i="23"/>
  <c r="H7" i="23"/>
  <c r="I7" i="23"/>
  <c r="G7" i="22"/>
  <c r="I7" i="22"/>
  <c r="G13" i="22"/>
  <c r="G26" i="22"/>
  <c r="H26" i="22"/>
  <c r="I26" i="22"/>
  <c r="G24" i="22"/>
  <c r="I24" i="22"/>
  <c r="G16" i="21"/>
  <c r="G7" i="21"/>
  <c r="I7" i="21"/>
  <c r="G27" i="21"/>
  <c r="I27" i="21"/>
  <c r="G19" i="21"/>
  <c r="H22" i="21"/>
  <c r="I21" i="21"/>
  <c r="H17" i="21"/>
  <c r="G16" i="20"/>
  <c r="H7" i="20"/>
  <c r="I7" i="20"/>
  <c r="G7" i="20"/>
  <c r="H28" i="20"/>
  <c r="I28" i="20"/>
  <c r="G28" i="20"/>
  <c r="H22" i="20"/>
  <c r="H17" i="20"/>
  <c r="H21" i="21" l="1"/>
  <c r="J21" i="21"/>
  <c r="H24" i="22"/>
  <c r="H7" i="22"/>
  <c r="H7" i="21"/>
  <c r="H27" i="21"/>
  <c r="H16" i="24"/>
  <c r="H19" i="23"/>
  <c r="G5" i="25"/>
  <c r="G6" i="25" s="1"/>
  <c r="I16" i="24"/>
  <c r="G5" i="24"/>
  <c r="G6" i="24" s="1"/>
  <c r="G5" i="23"/>
  <c r="G6" i="23" s="1"/>
  <c r="I16" i="25"/>
  <c r="H16" i="25"/>
  <c r="H13" i="25"/>
  <c r="I13" i="25"/>
  <c r="H13" i="24"/>
  <c r="I13" i="24"/>
  <c r="I19" i="23"/>
  <c r="G5" i="22"/>
  <c r="G6" i="22" s="1"/>
  <c r="I13" i="22"/>
  <c r="H13" i="22" s="1"/>
  <c r="I16" i="23"/>
  <c r="G5" i="21"/>
  <c r="G6" i="21" s="1"/>
  <c r="I19" i="21"/>
  <c r="H19" i="21" s="1"/>
  <c r="H20" i="21"/>
  <c r="I26" i="20"/>
  <c r="J26" i="20" s="1"/>
  <c r="G5" i="20"/>
  <c r="G6" i="20" s="1"/>
  <c r="H20" i="20"/>
  <c r="H16" i="20"/>
  <c r="I16" i="20"/>
  <c r="H26" i="20" l="1"/>
  <c r="H5" i="24"/>
  <c r="H6" i="24" s="1"/>
  <c r="I5" i="24"/>
  <c r="I6" i="24" s="1"/>
  <c r="I5" i="25"/>
  <c r="I6" i="25" s="1"/>
  <c r="I5" i="23"/>
  <c r="I6" i="23" s="1"/>
  <c r="H5" i="25"/>
  <c r="H6" i="25" s="1"/>
  <c r="I16" i="22"/>
  <c r="H16" i="23"/>
  <c r="H5" i="23" s="1"/>
  <c r="H6" i="23" s="1"/>
  <c r="I16" i="21"/>
  <c r="H19" i="20"/>
  <c r="H5" i="20" s="1"/>
  <c r="H6" i="20" s="1"/>
  <c r="I19" i="20"/>
  <c r="I5" i="20" s="1"/>
  <c r="I6" i="20" s="1"/>
  <c r="F15" i="27"/>
  <c r="D15" i="27"/>
  <c r="E16" i="27"/>
  <c r="E15" i="27" s="1"/>
  <c r="E5" i="26"/>
  <c r="E6" i="26" s="1"/>
  <c r="F5" i="26"/>
  <c r="F6" i="26" s="1"/>
  <c r="D5" i="26"/>
  <c r="D24" i="24"/>
  <c r="D16" i="24"/>
  <c r="D13" i="24"/>
  <c r="D7" i="24"/>
  <c r="F25" i="24"/>
  <c r="F22" i="24"/>
  <c r="R22" i="24" s="1"/>
  <c r="F21" i="24"/>
  <c r="E21" i="24" s="1"/>
  <c r="F20" i="24"/>
  <c r="E20" i="24" s="1"/>
  <c r="F19" i="24"/>
  <c r="R19" i="24" s="1"/>
  <c r="F18" i="24"/>
  <c r="E18" i="24" s="1"/>
  <c r="F17" i="24"/>
  <c r="F14" i="24"/>
  <c r="F11" i="24"/>
  <c r="E11" i="24" s="1"/>
  <c r="D7" i="22"/>
  <c r="D7" i="23"/>
  <c r="F29" i="23"/>
  <c r="F28" i="23" s="1"/>
  <c r="F26" i="23"/>
  <c r="F24" i="23"/>
  <c r="E24" i="23" s="1"/>
  <c r="F23" i="23"/>
  <c r="E23" i="23" s="1"/>
  <c r="F22" i="23"/>
  <c r="E22" i="23" s="1"/>
  <c r="F21" i="23"/>
  <c r="E21" i="23" s="1"/>
  <c r="F20" i="23"/>
  <c r="U20" i="23" s="1"/>
  <c r="V20" i="23" s="1"/>
  <c r="F17" i="23"/>
  <c r="F14" i="23"/>
  <c r="E14" i="23" s="1"/>
  <c r="D28" i="23"/>
  <c r="D19" i="23"/>
  <c r="D16" i="23"/>
  <c r="F25" i="22"/>
  <c r="F24" i="22" s="1"/>
  <c r="F22" i="22"/>
  <c r="F19" i="22"/>
  <c r="F18" i="22"/>
  <c r="F17" i="22"/>
  <c r="T17" i="22" s="1"/>
  <c r="U17" i="22" s="1"/>
  <c r="F14" i="22"/>
  <c r="F11" i="22"/>
  <c r="E11" i="22" s="1"/>
  <c r="D26" i="22"/>
  <c r="D24" i="22"/>
  <c r="D16" i="22"/>
  <c r="D13" i="22"/>
  <c r="D29" i="21"/>
  <c r="D27" i="21"/>
  <c r="D19" i="21"/>
  <c r="D16" i="21"/>
  <c r="D7" i="21"/>
  <c r="F28" i="21"/>
  <c r="F25" i="21"/>
  <c r="U25" i="21" s="1"/>
  <c r="V25" i="21" s="1"/>
  <c r="F24" i="21"/>
  <c r="E24" i="21" s="1"/>
  <c r="F23" i="21"/>
  <c r="E23" i="21" s="1"/>
  <c r="F22" i="21"/>
  <c r="U22" i="21" s="1"/>
  <c r="V22" i="21" s="1"/>
  <c r="F21" i="21"/>
  <c r="E21" i="21" s="1"/>
  <c r="F20" i="21"/>
  <c r="U20" i="21" s="1"/>
  <c r="V20" i="21" s="1"/>
  <c r="F17" i="21"/>
  <c r="U17" i="21" s="1"/>
  <c r="V17" i="21" s="1"/>
  <c r="S43" i="21" s="1"/>
  <c r="F14" i="21"/>
  <c r="E14" i="21" s="1"/>
  <c r="F14" i="25"/>
  <c r="F27" i="25"/>
  <c r="F26" i="25" s="1"/>
  <c r="F25" i="25"/>
  <c r="F24" i="25" s="1"/>
  <c r="F22" i="25"/>
  <c r="M23" i="25" s="1"/>
  <c r="K41" i="25" s="1"/>
  <c r="F21" i="25"/>
  <c r="E21" i="25" s="1"/>
  <c r="F20" i="25"/>
  <c r="E20" i="25" s="1"/>
  <c r="F19" i="25"/>
  <c r="F18" i="25"/>
  <c r="E18" i="25" s="1"/>
  <c r="F17" i="25"/>
  <c r="R17" i="25" s="1"/>
  <c r="F11" i="25"/>
  <c r="E11" i="25" s="1"/>
  <c r="D26" i="25"/>
  <c r="D24" i="25"/>
  <c r="D16" i="25"/>
  <c r="D13" i="25"/>
  <c r="D7" i="25"/>
  <c r="S44" i="21" l="1"/>
  <c r="D5" i="25"/>
  <c r="J5" i="25" s="1"/>
  <c r="R17" i="24"/>
  <c r="P33" i="24" s="1"/>
  <c r="N17" i="24"/>
  <c r="L34" i="24" s="1"/>
  <c r="U17" i="23"/>
  <c r="V17" i="23" s="1"/>
  <c r="S39" i="23" s="1"/>
  <c r="P17" i="23"/>
  <c r="Q17" i="23" s="1"/>
  <c r="N40" i="23" s="1"/>
  <c r="E26" i="23"/>
  <c r="U26" i="23"/>
  <c r="V26" i="23" s="1"/>
  <c r="S40" i="23" s="1"/>
  <c r="F13" i="22"/>
  <c r="O14" i="22"/>
  <c r="P14" i="22" s="1"/>
  <c r="M38" i="22" s="1"/>
  <c r="T14" i="22"/>
  <c r="U14" i="22" s="1"/>
  <c r="R36" i="22" s="1"/>
  <c r="I5" i="22"/>
  <c r="I6" i="22" s="1"/>
  <c r="H16" i="22"/>
  <c r="H5" i="22" s="1"/>
  <c r="H6" i="22" s="1"/>
  <c r="E19" i="22"/>
  <c r="T19" i="22"/>
  <c r="U19" i="22" s="1"/>
  <c r="R37" i="22" s="1"/>
  <c r="E22" i="22"/>
  <c r="O23" i="22"/>
  <c r="P23" i="22" s="1"/>
  <c r="M42" i="22" s="1"/>
  <c r="T22" i="22"/>
  <c r="U22" i="22" s="1"/>
  <c r="E22" i="21"/>
  <c r="I5" i="21"/>
  <c r="I6" i="21" s="1"/>
  <c r="H16" i="21"/>
  <c r="H5" i="21" s="1"/>
  <c r="H6" i="21" s="1"/>
  <c r="P17" i="21"/>
  <c r="Q17" i="21" s="1"/>
  <c r="N45" i="21" s="1"/>
  <c r="E25" i="21"/>
  <c r="P26" i="21"/>
  <c r="Q26" i="21" s="1"/>
  <c r="N48" i="21" s="1"/>
  <c r="M14" i="25"/>
  <c r="K37" i="25" s="1"/>
  <c r="R14" i="25"/>
  <c r="O36" i="25" s="1"/>
  <c r="E19" i="25"/>
  <c r="R19" i="25"/>
  <c r="O37" i="25" s="1"/>
  <c r="M19" i="25"/>
  <c r="E22" i="25"/>
  <c r="M22" i="25"/>
  <c r="R22" i="25"/>
  <c r="N14" i="24"/>
  <c r="L33" i="24" s="1"/>
  <c r="R14" i="24"/>
  <c r="P32" i="24" s="1"/>
  <c r="E19" i="24"/>
  <c r="E22" i="24"/>
  <c r="E25" i="24"/>
  <c r="E24" i="24" s="1"/>
  <c r="F24" i="24"/>
  <c r="E17" i="24"/>
  <c r="F16" i="24"/>
  <c r="E7" i="24"/>
  <c r="F7" i="24"/>
  <c r="E17" i="25"/>
  <c r="F16" i="25"/>
  <c r="E14" i="25"/>
  <c r="F13" i="25"/>
  <c r="E7" i="25"/>
  <c r="F7" i="25"/>
  <c r="E14" i="24"/>
  <c r="E13" i="24" s="1"/>
  <c r="F13" i="24"/>
  <c r="E20" i="23"/>
  <c r="F19" i="23"/>
  <c r="E7" i="22"/>
  <c r="F7" i="22"/>
  <c r="F26" i="22"/>
  <c r="F7" i="23"/>
  <c r="E17" i="23"/>
  <c r="E16" i="23" s="1"/>
  <c r="F16" i="23"/>
  <c r="E17" i="22"/>
  <c r="F16" i="22"/>
  <c r="E28" i="21"/>
  <c r="E27" i="21" s="1"/>
  <c r="F27" i="21"/>
  <c r="E7" i="21"/>
  <c r="F7" i="21"/>
  <c r="E29" i="21"/>
  <c r="D5" i="24"/>
  <c r="E29" i="23"/>
  <c r="E28" i="23" s="1"/>
  <c r="E7" i="23"/>
  <c r="D5" i="23"/>
  <c r="D5" i="22"/>
  <c r="E14" i="22"/>
  <c r="E13" i="22" s="1"/>
  <c r="E18" i="22"/>
  <c r="E25" i="22"/>
  <c r="E24" i="22" s="1"/>
  <c r="E26" i="22"/>
  <c r="F16" i="21"/>
  <c r="D5" i="21"/>
  <c r="F19" i="21"/>
  <c r="E17" i="21"/>
  <c r="E16" i="21" s="1"/>
  <c r="E20" i="21"/>
  <c r="E25" i="25"/>
  <c r="E24" i="25" s="1"/>
  <c r="E27" i="25"/>
  <c r="E26" i="25" s="1"/>
  <c r="F29" i="20"/>
  <c r="E29" i="20" s="1"/>
  <c r="E28" i="20" s="1"/>
  <c r="F26" i="20"/>
  <c r="U26" i="20" s="1"/>
  <c r="V26" i="20" s="1"/>
  <c r="F22" i="20"/>
  <c r="U22" i="20" s="1"/>
  <c r="V22" i="20" s="1"/>
  <c r="F21" i="20"/>
  <c r="E21" i="20" s="1"/>
  <c r="F20" i="20"/>
  <c r="U20" i="20" s="1"/>
  <c r="V20" i="20" s="1"/>
  <c r="S37" i="20" s="1"/>
  <c r="F17" i="20"/>
  <c r="F14" i="20"/>
  <c r="E14" i="20" s="1"/>
  <c r="E30" i="20"/>
  <c r="F30" i="20"/>
  <c r="D30" i="20"/>
  <c r="D28" i="20"/>
  <c r="D19" i="20"/>
  <c r="M19" i="20" s="1"/>
  <c r="D16" i="20"/>
  <c r="M16" i="20" s="1"/>
  <c r="D7" i="20"/>
  <c r="K38" i="25" l="1"/>
  <c r="D6" i="25"/>
  <c r="E16" i="24"/>
  <c r="E5" i="24" s="1"/>
  <c r="E6" i="24" s="1"/>
  <c r="D6" i="24"/>
  <c r="K5" i="24"/>
  <c r="D6" i="23"/>
  <c r="M5" i="23"/>
  <c r="E19" i="23"/>
  <c r="E5" i="23" s="1"/>
  <c r="E6" i="23" s="1"/>
  <c r="D6" i="21"/>
  <c r="M5" i="21"/>
  <c r="D6" i="22"/>
  <c r="L5" i="22"/>
  <c r="E19" i="21"/>
  <c r="E5" i="21" s="1"/>
  <c r="E6" i="21" s="1"/>
  <c r="E22" i="20"/>
  <c r="E26" i="20"/>
  <c r="P27" i="20"/>
  <c r="Q27" i="20" s="1"/>
  <c r="Q43" i="20" s="1"/>
  <c r="E17" i="20"/>
  <c r="E16" i="20" s="1"/>
  <c r="U17" i="20"/>
  <c r="V17" i="20" s="1"/>
  <c r="S40" i="20" s="1"/>
  <c r="P17" i="20"/>
  <c r="Q17" i="20" s="1"/>
  <c r="Q42" i="20" s="1"/>
  <c r="E20" i="20"/>
  <c r="F5" i="25"/>
  <c r="F6" i="25" s="1"/>
  <c r="E16" i="25"/>
  <c r="E13" i="25"/>
  <c r="F5" i="24"/>
  <c r="F6" i="24" s="1"/>
  <c r="F5" i="23"/>
  <c r="F6" i="23" s="1"/>
  <c r="F5" i="22"/>
  <c r="F6" i="22" s="1"/>
  <c r="E16" i="22"/>
  <c r="E5" i="22" s="1"/>
  <c r="E6" i="22" s="1"/>
  <c r="F5" i="21"/>
  <c r="F6" i="21" s="1"/>
  <c r="F28" i="20"/>
  <c r="E7" i="20"/>
  <c r="F19" i="20"/>
  <c r="F16" i="20"/>
  <c r="F7" i="20"/>
  <c r="D5" i="20"/>
  <c r="D6" i="20" l="1"/>
  <c r="M5" i="20"/>
  <c r="E19" i="20"/>
  <c r="E5" i="20" s="1"/>
  <c r="E6" i="20" s="1"/>
  <c r="E5" i="25"/>
  <c r="E6" i="25" s="1"/>
  <c r="F5" i="20"/>
  <c r="F6" i="20" s="1"/>
  <c r="D6" i="26" l="1"/>
  <c r="F5" i="27" l="1"/>
  <c r="F6" i="27" s="1"/>
  <c r="E5" i="27"/>
  <c r="E6" i="27" s="1"/>
  <c r="D7" i="27"/>
  <c r="A9" i="27" s="1"/>
  <c r="A10" i="27" l="1"/>
  <c r="A8" i="27"/>
  <c r="D5" i="27"/>
  <c r="D6" i="27" s="1"/>
  <c r="A12" i="27"/>
  <c r="G9" i="27" s="1"/>
  <c r="H9" i="27" l="1"/>
  <c r="G8" i="27"/>
  <c r="G10" i="27"/>
  <c r="H8" i="27" l="1"/>
  <c r="G7" i="27"/>
  <c r="G5" i="27" s="1"/>
  <c r="G6" i="27" s="1"/>
  <c r="M13" i="27"/>
  <c r="M12" i="27"/>
  <c r="H10" i="27"/>
  <c r="M14" i="27"/>
  <c r="H7" i="27" l="1"/>
  <c r="H5" i="27" s="1"/>
  <c r="H6" i="27" s="1"/>
</calcChain>
</file>

<file path=xl/sharedStrings.xml><?xml version="1.0" encoding="utf-8"?>
<sst xmlns="http://schemas.openxmlformats.org/spreadsheetml/2006/main" count="2791" uniqueCount="765">
  <si>
    <t xml:space="preserve">Prioritatea 2 Atenuarea impactului tranziției la neutralitatea climatică în județul Hunedoara
</t>
  </si>
  <si>
    <t xml:space="preserve">Prioritatea 4 Atenuarea impactului tranziției la neutralitatea climatică în județul Galați
</t>
  </si>
  <si>
    <t xml:space="preserve">Prioritatea 3 Atenuarea impactului tranziției la neutralitatea climatică în județul Dolj
</t>
  </si>
  <si>
    <t xml:space="preserve">Prioritatea 1 Atenuarea impactului tranziției la neutralitatea climatică în județul Gorj
</t>
  </si>
  <si>
    <t xml:space="preserve">Prioritatea 5 Atenuarea impactului tranziției la neutralitatea climatică în județul Prahova
</t>
  </si>
  <si>
    <t xml:space="preserve">Prioritatea 6 Atenuarea impactului tranziției la neutralitatea climatică în județul Mureș
</t>
  </si>
  <si>
    <t>Crearea de locuri de muncă prin investiții productive în IMM-uri, inclusiv prin crearea de noi întreprinderi</t>
  </si>
  <si>
    <t>Investiții pentru actualizarea competențelor și recalificarea șomerilor / persoanelor ocupate în sectoare în transformare</t>
  </si>
  <si>
    <t>Investiții pentru reducerea substanțială a emisiilor de gaze cu efect de seră</t>
  </si>
  <si>
    <t>Investiții în activități de cercetare și inovare cu relevanță pentru tranziția la neutralitatea climatică a teritoriului</t>
  </si>
  <si>
    <t xml:space="preserve">Investiții productive în întreprinderi mari pentru generarea de locuri de muncă durabile </t>
  </si>
  <si>
    <t xml:space="preserve">Investiții în capacități de producție de energie regenerabilă pentru alimentarea serviciilor publice, combaterea sărăciei energetice și generarea de locuri de muncă durabile </t>
  </si>
  <si>
    <t>Investiții în regenerarea și decontaminarea siturilor dezafectate, în restaurarea terenurilor și inclusiv, unde este necesar, în proiecte de infrastructură verde și în proiecte de reconversie, ținându-se cont de principiul „poluatorul plătește”.</t>
  </si>
  <si>
    <r>
      <rPr>
        <sz val="10"/>
        <color rgb="FFFF0000"/>
        <rFont val="Calibri"/>
        <family val="2"/>
        <scheme val="minor"/>
      </rPr>
      <t>Beneficiari:</t>
    </r>
    <r>
      <rPr>
        <sz val="10"/>
        <rFont val="Calibri"/>
        <family val="2"/>
        <scheme val="minor"/>
      </rPr>
      <t xml:space="preserve"> IMM-uri, microîntreprinderi</t>
    </r>
  </si>
  <si>
    <r>
      <rPr>
        <sz val="10"/>
        <color rgb="FFFF0000"/>
        <rFont val="Calibri"/>
        <family val="2"/>
        <scheme val="minor"/>
      </rPr>
      <t>Beneficiari:</t>
    </r>
    <r>
      <rPr>
        <sz val="10"/>
        <rFont val="Calibri"/>
        <family val="2"/>
        <scheme val="minor"/>
      </rPr>
      <t xml:space="preserve"> Furnizori de servicii de ocupare și formare, AJOFM în colaborare cu angajatori, intreprinderi.
</t>
    </r>
  </si>
  <si>
    <r>
      <rPr>
        <sz val="10"/>
        <color rgb="FFFF0000"/>
        <rFont val="Calibri"/>
        <family val="2"/>
        <scheme val="minor"/>
      </rPr>
      <t>Beneficiari:</t>
    </r>
    <r>
      <rPr>
        <sz val="10"/>
        <rFont val="Calibri"/>
        <family val="2"/>
        <scheme val="minor"/>
      </rPr>
      <t xml:space="preserve"> Autorități locale, prosumatori</t>
    </r>
  </si>
  <si>
    <r>
      <rPr>
        <sz val="10"/>
        <color rgb="FFFF0000"/>
        <rFont val="Calibri"/>
        <family val="2"/>
        <scheme val="minor"/>
      </rPr>
      <t xml:space="preserve">Beneficiari: </t>
    </r>
    <r>
      <rPr>
        <sz val="10"/>
        <rFont val="Calibri"/>
        <family val="2"/>
        <scheme val="minor"/>
      </rPr>
      <t xml:space="preserve">entități de inovare și transfer tehnologic, institute cercetare/universitati in parteneriat cu intreprinderi
</t>
    </r>
  </si>
  <si>
    <r>
      <rPr>
        <sz val="10"/>
        <color rgb="FFFF0000"/>
        <rFont val="Calibri"/>
        <family val="2"/>
        <scheme val="minor"/>
      </rPr>
      <t>Beneficiari:</t>
    </r>
    <r>
      <rPr>
        <sz val="10"/>
        <rFont val="Calibri"/>
        <family val="2"/>
        <scheme val="minor"/>
      </rPr>
      <t xml:space="preserve"> Liberty Galați</t>
    </r>
  </si>
  <si>
    <r>
      <rPr>
        <sz val="10"/>
        <color rgb="FFFF0000"/>
        <rFont val="Calibri"/>
        <family val="2"/>
        <scheme val="minor"/>
      </rPr>
      <t>Beneficiari:</t>
    </r>
    <r>
      <rPr>
        <sz val="10"/>
        <rFont val="Calibri"/>
        <family val="2"/>
        <scheme val="minor"/>
      </rPr>
      <t xml:space="preserve"> Azomureș</t>
    </r>
  </si>
  <si>
    <r>
      <rPr>
        <sz val="10"/>
        <color rgb="FFFF0000"/>
        <rFont val="Calibri"/>
        <family val="2"/>
        <scheme val="minor"/>
      </rPr>
      <t xml:space="preserve">Beneficiari: </t>
    </r>
    <r>
      <rPr>
        <sz val="10"/>
        <rFont val="Calibri"/>
        <family val="2"/>
        <scheme val="minor"/>
      </rPr>
      <t>Întreprinderi mari preidentificate la nivel de plan</t>
    </r>
  </si>
  <si>
    <r>
      <rPr>
        <sz val="10"/>
        <color rgb="FFFF0000"/>
        <rFont val="Calibri"/>
        <family val="2"/>
        <scheme val="minor"/>
      </rPr>
      <t xml:space="preserve">Beneficiari: </t>
    </r>
    <r>
      <rPr>
        <sz val="10"/>
        <rFont val="Calibri"/>
        <family val="2"/>
        <scheme val="minor"/>
      </rPr>
      <t>Autorități publice sau alte organisme publice, entități private cu respectarea principiului poluatorul plătește</t>
    </r>
  </si>
  <si>
    <t>Acțiunea 1.1 Dezvoltarea activității productive a IMM</t>
  </si>
  <si>
    <t>001</t>
  </si>
  <si>
    <t>Investiții în active fixe, inclusiv în infrastructura de cercetare, în microîntreprinderi legate direct de activități de cercetare și inovare</t>
  </si>
  <si>
    <t>0 %</t>
  </si>
  <si>
    <t>002</t>
  </si>
  <si>
    <t>Investiții în active fixe, inclusiv în infrastructura de cercetare, în întreprinderi mici și mijlocii (inclusiv centre de cercetare private) legate direct de activități de cercetare și inovare</t>
  </si>
  <si>
    <t>003</t>
  </si>
  <si>
    <t>Investiții în active fixe, inclusiv în infrastructura de cercetare, în întreprinderi mari (4) legate direct de activități de cercetare și inovare</t>
  </si>
  <si>
    <t>004</t>
  </si>
  <si>
    <t>Investiții în active fixe, inclusiv în infrastructura de cercetare, în centre publice de cercetare și de învățământ superior legate direct de activități de cercetare și inovare</t>
  </si>
  <si>
    <t>005</t>
  </si>
  <si>
    <t>Investiții în active necorporale în microîntreprinderi legate direct de activități de cercetare și inovare</t>
  </si>
  <si>
    <t>006</t>
  </si>
  <si>
    <t>Investiții în active necorporale în IMM-uri (inclusiv centre de cercetare private) legate direct de activități de cercetare și inovare</t>
  </si>
  <si>
    <t>007</t>
  </si>
  <si>
    <t>Investiții în active necorporale în întreprinderi mari legate direct de activități de cercetare și inovare</t>
  </si>
  <si>
    <t>008</t>
  </si>
  <si>
    <t>Investiții în active necorporale în centre publice de cercetare și de învățământ superior legate direct de activități de cercetare și inovare</t>
  </si>
  <si>
    <t>009</t>
  </si>
  <si>
    <t>Activități de cercetare și inovare în microîntreprinderi, inclusiv colaborarea în rețea (cercetare industrială, dezvoltare experimentală, studii de fezabilitate)</t>
  </si>
  <si>
    <t>010</t>
  </si>
  <si>
    <t>Activități de cercetare și inovare în IMM-uri, inclusiv colaborarea în rețea</t>
  </si>
  <si>
    <t>011</t>
  </si>
  <si>
    <t>Activități de cercetare și inovare în întreprinderi mari, inclusiv colaborarea în rețea</t>
  </si>
  <si>
    <t>012</t>
  </si>
  <si>
    <t>Activități de cercetare și inovare în centre publice de cercetare, în învățământul superior și în centre de competențe, inclusiv colaborarea în rețea (cercetare industrială, dezvoltare experimentală, studii de fezabilitate)</t>
  </si>
  <si>
    <t>013</t>
  </si>
  <si>
    <t>Digitalizarea IMM-urilor (inclusiv comerț electronic, activități economice electronice și procese economice în rețea, centre de inovare digitală, laboratoare vii, antreprenori web și start-up-uri în domeniul TIC, B2B)</t>
  </si>
  <si>
    <t>014</t>
  </si>
  <si>
    <t>Digitalizarea întreprinderilor mari (inclusiv comerț electronic, activități economice electronice și procese economice în rețea, centre de inovare digitală, laboratoare vii, antreprenori web și start-up-uri în domeniul TIC, B2B)</t>
  </si>
  <si>
    <t>015</t>
  </si>
  <si>
    <t>Digitalizarea IMM-urilor sau a întreprinderilor mari (inclusiv comerț electronic, activități economice electronice și procese economice în rețea, centre de inovare digitală, laboratoare vii, antreprenori web și start-up-uri în domeniul TIC, B2B) care respectă criteriile de reducere a emisiilor de gaze cu efect de seră sau criteriile de eficiență energetică (5)</t>
  </si>
  <si>
    <t>40 %</t>
  </si>
  <si>
    <t>016</t>
  </si>
  <si>
    <t>Soluții TIC, servicii electronice și aplicații pentru administrația publică</t>
  </si>
  <si>
    <t>017</t>
  </si>
  <si>
    <t>Soluții TIC, servicii electronice și aplicații guvernamentale care respectă criteriile de reducere a emisiilor de gaze cu efect de seră sau criteriile de eficiență energetică (6)</t>
  </si>
  <si>
    <t>018</t>
  </si>
  <si>
    <t>Servicii și aplicații TI dedicate competențelor digitale și incluziunii digitale</t>
  </si>
  <si>
    <t>019</t>
  </si>
  <si>
    <t>Servicii și aplicații de e-sănătate (inclusiv e-îngrijire, internetul obiectelor dedicat activității fizice și asistenței pentru autonomie la domiciliu)</t>
  </si>
  <si>
    <t>020</t>
  </si>
  <si>
    <t>Infrastructuri de afaceri pentru IMM-uri (inclusiv parcuri și situri industriale)</t>
  </si>
  <si>
    <t>021</t>
  </si>
  <si>
    <t>Dezvoltarea comercială și internaționalizarea IMM-urilor, inclusiv investiții productive</t>
  </si>
  <si>
    <t>022</t>
  </si>
  <si>
    <t>Sprijinirea întreprinderilor mari prin instrumente financiare, inclusiv investiții productive</t>
  </si>
  <si>
    <t>023</t>
  </si>
  <si>
    <t>Dezvoltarea competențelor pentru specializare inteligentă, tranziție industrială, antreprenoriat și adaptabilitatea întreprinderilor la schimbare</t>
  </si>
  <si>
    <t>024</t>
  </si>
  <si>
    <t>Servicii avansate de sprijin pentru IMM-uri și grupuri de IMM-uri (inclusiv servicii de management, marketing și proiectare)</t>
  </si>
  <si>
    <t>025</t>
  </si>
  <si>
    <t>026</t>
  </si>
  <si>
    <t>Sprijin pentru clusterele de inovare, inclusiv între întreprinderi, organizații de cercetare și autorități publice și rețele de afaceri, în primul rând în beneficiul IMM-urilor</t>
  </si>
  <si>
    <t>027</t>
  </si>
  <si>
    <t>Procese de inovare în IMM-uri (inovare la nivel de proces, la nivel organizațional, la nivel de marketing, la nivel de co-creare și de utilizator și inovare bazată pe cerere)</t>
  </si>
  <si>
    <t>028</t>
  </si>
  <si>
    <t>Transfer de tehnologie și cooperare între întreprinderi, centre de cercetare și sectorul învățământului superior</t>
  </si>
  <si>
    <t>029</t>
  </si>
  <si>
    <t>Procese de cercetare și inovare, transfer de tehnologie și cooperare între întreprinderi, centre de cercetare și universități, cu accent pe economia cu emisii reduse de dioxid de carbon, pe reziliență și pe adaptarea la schimbările climatice</t>
  </si>
  <si>
    <t>100 %</t>
  </si>
  <si>
    <t>030</t>
  </si>
  <si>
    <t>Procese de cercetare și inovare, transfer de tehnologie și cooperare între întreprinderi cu accent pe economia circulară</t>
  </si>
  <si>
    <t>031</t>
  </si>
  <si>
    <t>Finanțarea capitalului circulant în cadrul IMM-urilor sub formă de granturi pentru a răspunde unei situații de urgență (7)</t>
  </si>
  <si>
    <t>032</t>
  </si>
  <si>
    <t>TIC: Rețea în bandă largă de foarte mare capacitate (rețea magistrală/de backhaul)</t>
  </si>
  <si>
    <t>033</t>
  </si>
  <si>
    <t>TIC: Rețea în bandă largă de foarte mare capacitate (acces/buclă locală cu performanțe echivalente celor ale unei instalații de fibră optică, până la punctul de distribuție din locul de deservire pentru proprietățile cu mai multe apartamente)</t>
  </si>
  <si>
    <t>034</t>
  </si>
  <si>
    <t>TIC: Rețea în bandă largă de foarte mare capacitate (acces/buclă locală cu performanțe echivalente celor ale unei instalații de fibră optică, până la punctul de distribuție din locul de deservire pentru locuințe și spații comerciale)</t>
  </si>
  <si>
    <t>035</t>
  </si>
  <si>
    <t>TIC: Rețea în bandă largă de foarte mare capacitate (acces/buclă locală cu performanțe echivalente celor ale unei instalații de fibră optică, până la stația de bază pentru comunicații wireless avansate)</t>
  </si>
  <si>
    <t>036</t>
  </si>
  <si>
    <t>TIC: Alte tipuri de infrastructuri TIC (inclusiv resurse informatice/echipamente la scară mare, centre de date, senzori și alte echipamente wireless)</t>
  </si>
  <si>
    <t>037</t>
  </si>
  <si>
    <t>TIC: Alte tipuri de infrastructuri TIC (inclusiv resurse informatice/echipamente la scară mare, centre de date, senzori și alte echipamente wireless) care respectă criteriile de reducere a emisiilor de dioxid de carbon și criteriile de eficiență energetică (8)</t>
  </si>
  <si>
    <t>038</t>
  </si>
  <si>
    <t>Eficiență energetică și proiecte demonstrative în IMM-uri și măsuri de sprijin</t>
  </si>
  <si>
    <t>039</t>
  </si>
  <si>
    <t>Eficiență energetică și proiecte demonstrative în întreprinderi mari și măsuri de sprijin</t>
  </si>
  <si>
    <t>040</t>
  </si>
  <si>
    <t>Eficiență energetică și proiecte demonstrative în IMM-uri sau în întreprinderi mari și măsuri de sprijin care respectă criteriile de eficiență energetică (9)</t>
  </si>
  <si>
    <t>041</t>
  </si>
  <si>
    <t>Renovarea fondului locativ existent în vederea creșterii eficienței energetice, proiecte demonstrative și măsuri de sprijin</t>
  </si>
  <si>
    <t>042</t>
  </si>
  <si>
    <t>Renovarea fondului locativ existent în vederea creșterii eficienței energetice, proiecte demonstrative și măsuri de sprijin care respectă criteriile de eficiență energetică (10)</t>
  </si>
  <si>
    <t>043</t>
  </si>
  <si>
    <t>Construirea de clădiri noi eficiente din punct de vedere energetic (11)</t>
  </si>
  <si>
    <t>044</t>
  </si>
  <si>
    <t>Renovarea în vederea creșterii eficienței energetice sau măsuri de eficiență energetică legate de infrastructurile publice, proiecte demonstrative și măsuri de sprijin</t>
  </si>
  <si>
    <t>045</t>
  </si>
  <si>
    <t>Renovarea în vederea creșterii eficienței energetice sau măsuri de eficiență energetică legate de infrastructurile publice, proiecte demonstrative și măsuri de sprijin care respectă criteriile de eficiență energetică (12)</t>
  </si>
  <si>
    <t>046</t>
  </si>
  <si>
    <t>Sprijin pentru entitățile care oferă servicii ce contribuie la economia cu emisii reduse de dioxid de carbon și la reziliența la schimbările climatice, inclusiv măsuri de sensibilizare</t>
  </si>
  <si>
    <t>047</t>
  </si>
  <si>
    <t>Energie din surse regenerabile: energia eoliană</t>
  </si>
  <si>
    <t>048</t>
  </si>
  <si>
    <t>Energie din surse regenerabile: energia solară</t>
  </si>
  <si>
    <t>049</t>
  </si>
  <si>
    <t>Energie din surse regenerabile: biomasa (13)</t>
  </si>
  <si>
    <t>050</t>
  </si>
  <si>
    <t>Energie din surse regenerabile: biomasă cu reduceri mari ale emisiilor de gaze cu efect de seră (14)</t>
  </si>
  <si>
    <t>051</t>
  </si>
  <si>
    <t>Energie din surse regenerabile: energia marină</t>
  </si>
  <si>
    <t>052</t>
  </si>
  <si>
    <t>Alte forme de energie din surse regenerabile (inclusiv energia geotermică)</t>
  </si>
  <si>
    <t>053</t>
  </si>
  <si>
    <t>Sisteme energetice inteligente (inclusiv rețele inteligente și sisteme TIC) și stocarea aferentă</t>
  </si>
  <si>
    <t>054</t>
  </si>
  <si>
    <t>Cogenerare și încălzire și răcire centralizate de înaltă eficiență</t>
  </si>
  <si>
    <t>055</t>
  </si>
  <si>
    <t>Cogenerare de înaltă eficiență, termoficare și răcire centralizate eficiente, cu emisii reduse pe durata ciclului de viață (16)</t>
  </si>
  <si>
    <t>056</t>
  </si>
  <si>
    <t>Înlocuirea sistemelor de încălzire pe bază de cărbune cu sisteme de încălzire pe bază de gaz, în scopul atenuării schimbărilor climatice</t>
  </si>
  <si>
    <t>057</t>
  </si>
  <si>
    <t>Distribuția și transportul gazelor naturale care înlocuiesc cărbunele</t>
  </si>
  <si>
    <t>058</t>
  </si>
  <si>
    <t>Măsuri de adaptare la schimbările climatice și prevenirea și gestionarea riscurilor legate de climă: inundații și alunecări de teren (inclusiv sensibilizare, sisteme și infrastructuri de protecție civilă și de gestionare a dezastrelor, abordări ecosistemice)</t>
  </si>
  <si>
    <t>059</t>
  </si>
  <si>
    <t>Măsuri de adaptare la schimbările climatice și prevenirea și gestionarea riscurilor legate de climă: incendii (inclusiv sensibilizare, sisteme și infrastructuri de protecție civilă și de gestionare a dezastrelor, abordări ecosistemice)</t>
  </si>
  <si>
    <t>060</t>
  </si>
  <si>
    <t>Măsuri de adaptare la schimbările climatice și prevenirea și gestionarea riscurilor legate de climă: altele, de exemplu furtuni și secetă (inclusiv sensibilizare, sisteme și infrastructuri de protecție civilă și de gestionare a dezastrelor, abordări ecosistemice)</t>
  </si>
  <si>
    <t>061</t>
  </si>
  <si>
    <t>Prevenirea și gestionarea riscurilor naturale care nu au legătură cu clima (de exemplu cutremurele) și ale riscurilor legate de activitățile umane (de exemplu accidentele tehnologice), inclusiv sensibilizare, sisteme și infrastructuri de protecție civilă și de gestionare a dezastrelor, abordări ecosistemice</t>
  </si>
  <si>
    <t>062</t>
  </si>
  <si>
    <t>Furnizarea de apă destinată consumului uman (infrastructuri de extracție, tratare, stocare și distribuție, măsuri legate de eficiență, alimentare cu apă potabilă)</t>
  </si>
  <si>
    <t>063</t>
  </si>
  <si>
    <t>Furnizarea de apă destinată consumului uman (infrastructuri de extracție, tratare, stocare și distribuție, măsuri legate de eficiență, alimentare cu apă potabilă) care respectă criteriile de eficiență (17)</t>
  </si>
  <si>
    <t>064</t>
  </si>
  <si>
    <t>Gospodărirea apelor și conservarea resurselor de apă (inclusiv managementul bazinelor hidrografice, măsuri specifice de adaptare la schimbările climatice, reutilizare, reducerea scurgerilor)</t>
  </si>
  <si>
    <t>065</t>
  </si>
  <si>
    <t>Colectarea și epurarea apelor uzate</t>
  </si>
  <si>
    <t>066</t>
  </si>
  <si>
    <t>Colectarea și epurarea apelor uzate, care respectă criteriile de eficiență energetică (18)</t>
  </si>
  <si>
    <t>067</t>
  </si>
  <si>
    <t>Gestionarea deșeurilor menajere: măsuri de prevenire, minimizare, sortare, reutilizare și reciclare</t>
  </si>
  <si>
    <t>068</t>
  </si>
  <si>
    <t>Gestionarea deșeurilor menajere: tratarea deșeurilor reziduale</t>
  </si>
  <si>
    <t>069</t>
  </si>
  <si>
    <t>Gestionarea deșeurilor comerciale și industriale: măsuri de prevenire, minimizare, sortare, reutilizare și reciclare</t>
  </si>
  <si>
    <t>070</t>
  </si>
  <si>
    <t>Gestionarea deșeurilor comerciale și industriale: deșeuri reziduale și deșeuri periculoase</t>
  </si>
  <si>
    <t>071</t>
  </si>
  <si>
    <t>Promovarea utilizării materialelor reciclate ca materii prime</t>
  </si>
  <si>
    <t>072</t>
  </si>
  <si>
    <t>Utilizarea materialelor reciclate ca materii prime care respectă criteriile de eficiență (19)</t>
  </si>
  <si>
    <t>073</t>
  </si>
  <si>
    <t>Reabilitarea siturilor industriale și a terenurilor contaminate</t>
  </si>
  <si>
    <t>074</t>
  </si>
  <si>
    <t>Reabilitarea siturilor industriale și a terenurilor contaminate care respectă criteriile de eficiență (20)</t>
  </si>
  <si>
    <t>075</t>
  </si>
  <si>
    <t>Sprijinirea proceselor de producție ecologice și a utilizării eficiente a resurselor în IMM-uri</t>
  </si>
  <si>
    <t>076</t>
  </si>
  <si>
    <t>Sprijinirea proceselor de producție ecologice și a utilizării eficiente a resurselor în întreprinderile mari</t>
  </si>
  <si>
    <t>077</t>
  </si>
  <si>
    <t>Măsuri privind calitatea aerului și reducerea zgomotului</t>
  </si>
  <si>
    <t>078</t>
  </si>
  <si>
    <t>Protejarea, restaurarea și utilizarea durabilă a siturilor Natura 2000</t>
  </si>
  <si>
    <t>079</t>
  </si>
  <si>
    <t>Protecția naturii și a biodiversității, patrimoniul natural și resursele naturale, infrastructura verde și cea albastră</t>
  </si>
  <si>
    <t>080</t>
  </si>
  <si>
    <t>Alte măsuri care vizează reducerea emisiilor de gaze cu efect de seră în domeniul conservării și restaurării zonelor naturale cu potențial ridicat de absorbție și stocare a dioxidului de carbon, de exemplu prin reumidificarea mlaștinilor, captarea gazelor provenite din depozitele de deșeuri</t>
  </si>
  <si>
    <t>081</t>
  </si>
  <si>
    <t>Infrastructuri de transport urban curate (21)</t>
  </si>
  <si>
    <t>082</t>
  </si>
  <si>
    <t>Material rulant de transport urban curat (22)</t>
  </si>
  <si>
    <t>083</t>
  </si>
  <si>
    <t>Infrastructuri pentru bicicliști</t>
  </si>
  <si>
    <t>084</t>
  </si>
  <si>
    <t>Digitalizarea transportului urban</t>
  </si>
  <si>
    <t>085</t>
  </si>
  <si>
    <t>Digitalizarea transporturilor, atunci când urmărește în parte reducerea emisiilor de gaze cu efect de seră: transport urban</t>
  </si>
  <si>
    <t>086</t>
  </si>
  <si>
    <t>Infrastructuri pentru combustibili alternativi (23)</t>
  </si>
  <si>
    <t>087</t>
  </si>
  <si>
    <t>Autostrăzi și drumuri nou construite sau reabilitate - rețeaua centrală TEN-T</t>
  </si>
  <si>
    <t>088</t>
  </si>
  <si>
    <t>Autostrăzi și drumuri nou construite sau reabilitate - rețeaua globală TEN-T</t>
  </si>
  <si>
    <t>089</t>
  </si>
  <si>
    <t>Legături rutiere secundare nou construite sau reabilitate către rețeaua rutieră și nodurile TEN-T</t>
  </si>
  <si>
    <t>090</t>
  </si>
  <si>
    <t>Alte drumuri de acces naționale, regionale și locale nou construite sau reabilitate</t>
  </si>
  <si>
    <t>091</t>
  </si>
  <si>
    <t>Autostrăzi și drumuri reconstruite sau modernizate - rețeaua centrală TEN-T</t>
  </si>
  <si>
    <t>092</t>
  </si>
  <si>
    <t>Autostrăzi și drumuri reconstruite sau modernizate - rețeaua globală TEN-T</t>
  </si>
  <si>
    <t>093</t>
  </si>
  <si>
    <t>Alte drumuri reconstruite sau modernizate (autostrăzi, drumuri naționale, regionale sau locale)</t>
  </si>
  <si>
    <t>094</t>
  </si>
  <si>
    <t>Digitalizarea transporturilor: căile rutiere</t>
  </si>
  <si>
    <t>095</t>
  </si>
  <si>
    <t>Digitalizarea transporturilor, atunci când urmărește în parte reducerea emisiilor de gaze cu efect de seră: căile rutiere</t>
  </si>
  <si>
    <t>096</t>
  </si>
  <si>
    <t>Căi ferate nou construite sau reabilitate - rețeaua centrală TEN-T</t>
  </si>
  <si>
    <t>097</t>
  </si>
  <si>
    <t>Căi ferate nou construite sau reabilitate - rețeaua globală TEN-T</t>
  </si>
  <si>
    <t>098</t>
  </si>
  <si>
    <t>Alte căi ferate nou construite sau reabilitate</t>
  </si>
  <si>
    <t>099</t>
  </si>
  <si>
    <t>Alte căi ferate nou construite sau reabilitate – electrice/cu zero emisii (25)</t>
  </si>
  <si>
    <t>Căi ferate reconstruite sau modernizate - rețeaua centrală TEN-T</t>
  </si>
  <si>
    <t>Căi ferate reconstruite sau modernizate - rețeaua globală TEN-T</t>
  </si>
  <si>
    <t>Alte căi ferate reconstruite sau modernizate</t>
  </si>
  <si>
    <t>Alte căi ferate reconstruite sau modernizate – electrice/cu zero emisii (26)</t>
  </si>
  <si>
    <t>Digitalizarea transporturilor: căile ferate</t>
  </si>
  <si>
    <t>Sistemul european de management al traficului feroviar (ERTMS)</t>
  </si>
  <si>
    <t>Active feroviare mobile</t>
  </si>
  <si>
    <t>Active feroviare mobile cu emisii zero/electrice (26)</t>
  </si>
  <si>
    <t>Transporturi multimodale (TEN-T)</t>
  </si>
  <si>
    <t>Transporturi multimodale (neurbane)</t>
  </si>
  <si>
    <t>Porturi maritime (TEN-T)</t>
  </si>
  <si>
    <t>Porturi maritime (TEN-T), cu excepția instalațiilor dedicate transportului de combustibili fosili</t>
  </si>
  <si>
    <t>Alte porturi maritime</t>
  </si>
  <si>
    <t>Alte porturi maritime, cu excepția instalațiilor dedicate transportului de combustibili fosili</t>
  </si>
  <si>
    <t>Căi navigabile și porturi interioare (TEN-T)</t>
  </si>
  <si>
    <t>Căi navigabile interioare și porturi interioare (TEN-T), cu excepția instalațiilor dedicate transportului de combustibili fosili</t>
  </si>
  <si>
    <t>Căi navigabile și porturi interioare (regionale și locale)</t>
  </si>
  <si>
    <t>Căi navigabile interioare și porturi interioare (regionale și locale), cu excepția instalațiilor dedicate transportului de combustibili fosili</t>
  </si>
  <si>
    <t>Sisteme de securitate, de siguranță și de management al traficului aerian pentru aeroporturile existente</t>
  </si>
  <si>
    <t>Digitalizarea transporturilor: alte moduri de transport</t>
  </si>
  <si>
    <t>Digitalizarea transporturilor, atunci când urmărește în parte reducerea emisiilor de gaze cu efect de seră: alte moduri de transport</t>
  </si>
  <si>
    <t>Infrastructuri pentru educația și îngrijirea timpurie</t>
  </si>
  <si>
    <t>Infrastructuri pentru învățământul primar și secundar</t>
  </si>
  <si>
    <t>Infrastructuri pentru învățământul terțiar</t>
  </si>
  <si>
    <t>Infrastructuri pentru educație și formare profesională și pentru educația adulților</t>
  </si>
  <si>
    <t>Infrastructuri de locuit pentru migranți, refugiați și persoane care solicită sau se află sub protecție internațională</t>
  </si>
  <si>
    <t>Infrastructuri de locuit (altele decât cele pentru migranți, refugiați și persoane care solicită sau se află sub protecție internațională)</t>
  </si>
  <si>
    <t>Alte infrastructuri sociale care contribuie la incluziunea socială în cadrul comunității</t>
  </si>
  <si>
    <t>Infrastructuri de sănătate</t>
  </si>
  <si>
    <t>Echipamente medicale</t>
  </si>
  <si>
    <t>Active mobile în domeniul sănătății</t>
  </si>
  <si>
    <t>Digitalizarea în asistența medicală</t>
  </si>
  <si>
    <t>Echipamente și materiale critice necesare pentru a răspunde unei situații de urgență</t>
  </si>
  <si>
    <t>Infrastructuri de primire temporară pentru migranți, refugiați și persoane care solicită sau se află sub protecție internațională</t>
  </si>
  <si>
    <t>Măsuri de îmbunătățire a accesului la locuri de muncă</t>
  </si>
  <si>
    <t>Măsuri de promovare a accesului la locuri de muncă pentru șomerii de lungă durată</t>
  </si>
  <si>
    <t>Sprijin specific pentru ocuparea forței de muncă în rândul tinerilor și pentru integrarea socioeconomică a tinerilor</t>
  </si>
  <si>
    <t>Sprijin pentru activitățile independente și start-up-uri</t>
  </si>
  <si>
    <t>Sprijin pentru economia socială și întreprinderile sociale</t>
  </si>
  <si>
    <t>Măsuri de modernizare și consolidare a instituțiilor și serviciilor pieței forței de muncă pentru evaluarea și anticiparea nevoilor de competențe și pentru asigurarea unei asistențe prompte și personalizate</t>
  </si>
  <si>
    <t>Sprijin pentru corelarea cererii și a ofertei și pentru tranzițiile de pe piața forței de muncă</t>
  </si>
  <si>
    <t>Sprijin pentru mobilitatea forței de muncă</t>
  </si>
  <si>
    <t>Măsuri de promovare a participării femeilor pe piața forței de muncă și de reducere a segregării de gen pe piața forței de muncă</t>
  </si>
  <si>
    <t>Măsuri de promovare a echilibrului între viața profesională și cea privată, inclusiv acces la servicii de îngrijire a copiilor și a persoanelor dependente</t>
  </si>
  <si>
    <t>Măsuri pentru un mediu de lucru sănătos și bine adaptat care să vizeze riscurile pentru sănătate, inclusiv promovarea activității fizice</t>
  </si>
  <si>
    <t>Sprijin pentru dezvoltarea de competențe digitale</t>
  </si>
  <si>
    <t>Sprijin pentru adaptarea la schimbare a lucrătorilor, întreprinderilor și antreprenorilor</t>
  </si>
  <si>
    <t>Măsuri de încurajare a îmbătrânirii active și în condiții bune de sănătate</t>
  </si>
  <si>
    <t>Sprijin pentru educația și îngrijirea timpurie (cu excepția infrastructurilor)</t>
  </si>
  <si>
    <t>Sprijin pentru învățământul primar și secundar (cu excepția infrastructurilor)</t>
  </si>
  <si>
    <t>Sprijin pentru învățământul terțiar (cu excepția infrastructurilor)</t>
  </si>
  <si>
    <t>Sprijinul pentru educația adulților (cu excepția infrastructurilor)</t>
  </si>
  <si>
    <t>Măsuri de promovare a egalității de șanse și a participării active în societate</t>
  </si>
  <si>
    <t>Modalități de integrare și reinserție pe piața forței de muncă pentru persoanele defavorizate</t>
  </si>
  <si>
    <t>Măsuri pentru îmbunătățirea accesului unor grupuri marginalizate, cum ar fi romii, la educație și locuri de muncă și pentru promovarea incluziunii sociale a acestora</t>
  </si>
  <si>
    <t>Sprijin pentru societatea civilă care lucrează cu comunități marginalizate, cum ar fi romii</t>
  </si>
  <si>
    <t>Acțiuni specifice pentru a spori participarea pe piața forței de muncă a resortisanților țărilor terțe</t>
  </si>
  <si>
    <t>Măsuri de integrare socială a resortisanților țărilor terțe</t>
  </si>
  <si>
    <t>Măsuri de facilitare a accesului egal și în timp util la servicii de calitate, durabile și accesibile financiar</t>
  </si>
  <si>
    <t>Măsuri de îmbunătățire a prestării serviciilor de îngrijire în cadrul familiei și al comunității</t>
  </si>
  <si>
    <t>Măsuri de îmbunătățire a accesibilității, eficacității și rezilienței sistemelor de sănătate (cu excepția infrastructurii)</t>
  </si>
  <si>
    <t>Măsuri de îmbunătățire a accesului la servicii de îngrijire pe termen lung (cu excepția infrastructurii)</t>
  </si>
  <si>
    <t>Măsuri de modernizare a sistemelor de protecție socială, inclusiv promovarea accesului la protecția socială</t>
  </si>
  <si>
    <t>Promovarea integrării sociale a persoanelor expuse riscului de sărăcie sau de excluziune socială, inclusiv a persoanelor celor mai defavorizate și a copiilor</t>
  </si>
  <si>
    <t>Combaterea privațiunilor materiale prin asistență alimentară și/sau materială pentru persoanele cele mai defavorizate, inclusiv măsuri de însoțire</t>
  </si>
  <si>
    <t>Protejarea, dezvoltarea și promovarea activelor turistice publice și a serviciilor turistice</t>
  </si>
  <si>
    <t>Protejarea, dezvoltarea și promovarea patrimoniului cultural și a serviciilor culturale</t>
  </si>
  <si>
    <t>Protejarea, dezvoltarea și promovarea patrimoniului natural și a ecoturismului în afara siturilor Natura 2000</t>
  </si>
  <si>
    <t>Regenerarea fizică și securitatea spațiilor publice</t>
  </si>
  <si>
    <t>Inițiative privind dezvoltarea teritorială, inclusiv pregătirea strategiilor teritoriale</t>
  </si>
  <si>
    <t>Îmbunătățirea capacității autorităților responsabile de programe și a organismelor implicate în execuția fondurilor</t>
  </si>
  <si>
    <t>Dezvoltarea cooperării cu parteneri din interiorul și din afara statului membru</t>
  </si>
  <si>
    <t>Finanțare încrucișată în cadrul FEDR (sprijin acordat acțiunilor de tip FSE+, necesare pentru implementarea părții FEDR a operațiunii și legate direct de aceasta)</t>
  </si>
  <si>
    <t>Consolidarea capacităților instituționale ale autorităților publice și ale părților interesate de a implementa proiecte și inițiative de cooperare teritorială într-un context transfrontalier, transnațional, maritim și interregional</t>
  </si>
  <si>
    <t>Interreg: managementul trecerii frontierelor și gestionarea mobilității și a migrației</t>
  </si>
  <si>
    <t>Regiuni ultraperiferice: compensarea oricăror costuri suplimentare cauzate de deficitul de accesibilitate și de fragmentarea teritorială</t>
  </si>
  <si>
    <t>Regiuni ultraperiferice: acțiuni specifice pentru compensarea costurilor suplimentare cauzate de factori legați de dimensiunea pieței</t>
  </si>
  <si>
    <t>Regiuni ultraperiferice: sprijin pentru compensarea costurilor suplimentare cauzate de condițiile climatice și de dificultățile de relief</t>
  </si>
  <si>
    <t>Regiuni ultraperiferice: aeroporturi</t>
  </si>
  <si>
    <t>Informare și comunicare</t>
  </si>
  <si>
    <t>Pregătire, implementare, monitorizare și control</t>
  </si>
  <si>
    <t>Evaluare și studii, colectare de date</t>
  </si>
  <si>
    <t>Consolidarea capacităților autorităților statelor membre, ale beneficiarilor și ale partenerilor relevanți</t>
  </si>
  <si>
    <t>RCO 01 – Întreprinderi care beneficiază de sprijin (din care: micro, mici, medii, mari) (*)</t>
  </si>
  <si>
    <t xml:space="preserve">RCR 01 – Locuri de muncă create în entitățile care beneficiază de sprijin </t>
  </si>
  <si>
    <t xml:space="preserve">RCO 02 – Întreprinderi care beneficiază de sprijin prin granturi
</t>
  </si>
  <si>
    <t xml:space="preserve">RCR 102 – Locuri de muncă create în domeniul cercetării în entitățile care beneficiază de sprijin </t>
  </si>
  <si>
    <t xml:space="preserve">RCR 02 – Investiții private care completează sprijinul public (din care: granturi, instrumente financiare) (*) </t>
  </si>
  <si>
    <t xml:space="preserve">RCO 04 – Întreprinderi care beneficiază de sprijin nefinanciar
</t>
  </si>
  <si>
    <t xml:space="preserve">RCR 03 – Întreprinderi mici și mijlocii (IMM-uri) care introduc inovații în materie de produse sau procese </t>
  </si>
  <si>
    <t xml:space="preserve">RCO 05 – Întreprinderi nou înființate care beneficiază de sprijin
</t>
  </si>
  <si>
    <t xml:space="preserve">RCR 04 – IMM-uri care introduc inovații în materie de comercializare sau organizare </t>
  </si>
  <si>
    <t xml:space="preserve">RCO 07 – Organizații de cercetare care participă la proiecte de cercetare comune
</t>
  </si>
  <si>
    <t xml:space="preserve">RCR 05 – IMM-uri care introduc inovații la nivel intern </t>
  </si>
  <si>
    <t xml:space="preserve">RCO 10 – Întreprinderi care cooperează cu organizații de cercetare
</t>
  </si>
  <si>
    <t xml:space="preserve">RCR 06 – Cereri de brevete depuse </t>
  </si>
  <si>
    <t>RCO 121 – Întreprinderi care beneficiază de sprijin în vederea reducerii emisiilor de gaze cu
efect de seră generate de activitățile enumerate în anexa I la Directiva 2003/87/CE</t>
  </si>
  <si>
    <t>RCR 29a – Emisii de gaze cu efect de seră estimate, generate de activitățile enumerate în anexa I la Directiva 2003/87/CE în întreprinderile care beneficiază de sprijin</t>
  </si>
  <si>
    <t xml:space="preserve">RCR 11 – Utilizatori de servicii și produse și procese digitale publice noi și optimizate
</t>
  </si>
  <si>
    <t>RCO 15 – Capacități create pentru pepinierele de afaceri</t>
  </si>
  <si>
    <t>RCR 12 – Utilizatori de servicii, produse și procese digitale noi și optimizate dezvoltate de
întreprinderi</t>
  </si>
  <si>
    <t xml:space="preserve">RCR 17 – Întreprinderi noi aflate încă pe piață
</t>
  </si>
  <si>
    <t xml:space="preserve">RCO 18 – Locuințe cu performanță energetică îmbunătățită
</t>
  </si>
  <si>
    <t>RCR 18 – IMM-uri care utilizează servicii ale unor pepiniere de afaceri după crearea
pepinierelor</t>
  </si>
  <si>
    <t>RCR 97 – Programe de ucenicie care beneficiază de sprijin în IMM-uri</t>
  </si>
  <si>
    <t>RCO 104 – Număr de unități de cogenerare de înaltă eficiență</t>
  </si>
  <si>
    <t>RCO 22 – Capacitate de producție suplimentară pentru energia din surse regenerabile (din
care: energie electrică, termică)</t>
  </si>
  <si>
    <t>RCO 34 – Capacități suplimentare pentru reciclarea deșeurilor</t>
  </si>
  <si>
    <t>RCR 31 – Energie totală din surse regenerabile produsă (din care: energie electrică, termică) (*)</t>
  </si>
  <si>
    <t>RCO 107 – Investiții în instalații pentru colectarea separată a deșeurilor</t>
  </si>
  <si>
    <t>RCR 32 – Capacitate operațională suplimentară instalată pentru energie din surse regenerabile</t>
  </si>
  <si>
    <t>RCO 119 – Deșeuri pregătite pentru reutilizare</t>
  </si>
  <si>
    <t>RCR 47 – Deșeuri reciclate</t>
  </si>
  <si>
    <t>RCR 48 – Deșeuri reciclate utilizate ca materii prime</t>
  </si>
  <si>
    <t>RCO 38 – Suprafața de teren reabilitat care beneficiază de sprijin</t>
  </si>
  <si>
    <t>RCR 50 – Populația care beneficiază de măsuri privind calitatea aerului (**)</t>
  </si>
  <si>
    <t>RCO 39 – Sisteme de monitorizare a poluării aerului instalate</t>
  </si>
  <si>
    <t>RCR 52 – Sol reabilitat utilizat pentru zone verzi, locuințe sociale, activități economice sau alte
utilizări</t>
  </si>
  <si>
    <t>RCO 55 – Lungimea liniilor noi de tramvai și metrou</t>
  </si>
  <si>
    <t>RCR 62 – Număr anual de utilizatori ai transporturilor publice noi sau modernizate</t>
  </si>
  <si>
    <t>RCO 56 – Lungimea liniilor de tramvai și metrou reconstruite sau modernizate</t>
  </si>
  <si>
    <t>RCR 63 – Număr anual de utilizatori ai liniilor de tramvai și de metrou noi sau modernizate</t>
  </si>
  <si>
    <t>RCO 57 – Capacitatea materialului rulant ecologic pentru transportul public colectiv</t>
  </si>
  <si>
    <t>RCR 64 – Număr anual de utilizatori ai pistelor ciclabile</t>
  </si>
  <si>
    <t>RCO 58 – Piste ciclabile care beneficiază de sprijin</t>
  </si>
  <si>
    <t>RCR 65 – Număr anual de utilizatori ai structurilor noi sau modernizate ale serviciilor de
ocupare a forței de muncă</t>
  </si>
  <si>
    <t>RCO 60 – Orașe și localități cu sisteme de transport urban digitalizate noi sau modernizate</t>
  </si>
  <si>
    <t>RCR 70 – Număr anual de utilizatori ai structurilor noi sau modernizate de îngrijire a copiilor</t>
  </si>
  <si>
    <t>RCO 61 – Suprafața structurilor noi sau modernizate ale serviciilor de ocupare a forței de
muncă</t>
  </si>
  <si>
    <t>RCR 71 – Număr anual de utilizatori ai structurilor educaționale noi sau modernizate</t>
  </si>
  <si>
    <t>RCO 66 – Capacitatea sălilor de clasă din structurile noi sau modernizate de îngrijire a copiilor</t>
  </si>
  <si>
    <t>RCR 72 – Număr anual de utilizatori ai serviciilor de e-sănătate noi sau modernizate</t>
  </si>
  <si>
    <t>RCO 67 – Capacitatea sălilor de clasă din structurile educaționale noi sau modernizate</t>
  </si>
  <si>
    <t>RCR 73 – Număr anual de utilizatori ai unităților de asistență medicală noi sau modernizate</t>
  </si>
  <si>
    <t>RCR 74 – Număr anual de utilizatori ai unităților de asistență socială noi sau modernizate</t>
  </si>
  <si>
    <t>RCO 69 – Capacitatea unităților de asistență medicală noi sau modernizate</t>
  </si>
  <si>
    <t>EECO 01 – șomeri, inclusiv șomeri pe termen lung (**)</t>
  </si>
  <si>
    <t>EECR 03 – persoane care dobândesc o calificare la încetarea calității de participant (**)</t>
  </si>
  <si>
    <t>EECO 02 – șomeri pe termen lung (**)</t>
  </si>
  <si>
    <t>EECR 04 – participanți care au un loc de muncă, inclusiv care desfășoară o activitate
independentă, la încetarea calității de participant</t>
  </si>
  <si>
    <t>EECO 03 – persoane inactive (**)</t>
  </si>
  <si>
    <t>EECO 04 – angajați, inclusiv persoane care desfășoară o activitate independentă (**)</t>
  </si>
  <si>
    <t>EECO 05 – numărul copiilor cu vârsta sub 18 ani (**)</t>
  </si>
  <si>
    <t>EECO 06 – tineri cu vârste între 18 și 29 de ani (**)</t>
  </si>
  <si>
    <t>EECO 07 – numărul de participanți cu vârsta de cel puțin 55 de ani (**)</t>
  </si>
  <si>
    <t>EECO 08 – absolvenți de învățământ secundar inferior sau sub acest nivel (ISCED 0-2) (**)</t>
  </si>
  <si>
    <t>EECO 09 – persoane cu studii liceale (ISCED 3) sau postliceale (ISCED 4) (**)</t>
  </si>
  <si>
    <t>EECO 10 – persoane cu studii superioare (ISCED 5-8) (**)</t>
  </si>
  <si>
    <t>EECO 01 – numărul total de participanți</t>
  </si>
  <si>
    <t>Acțiunea 1.3 Sprijinirea tranziției forței de muncă</t>
  </si>
  <si>
    <t>Acțiunea 1.4 Asigurarea accesului comunităților afectate de tranziție la servicii publice esențiale</t>
  </si>
  <si>
    <t>Acțiunea 1.5 Sprijin pentru ecologizarea și reconversia imobilelor afectate de activități economice în declin sau în transformare</t>
  </si>
  <si>
    <t>Acțiunea 1.6 Investiții pentru întreprinderi mari</t>
  </si>
  <si>
    <t>Prioritatea 2 -Hunedoara</t>
  </si>
  <si>
    <t>Prioritatea 3 -Dolj</t>
  </si>
  <si>
    <t>Prioritate/acțiuni</t>
  </si>
  <si>
    <t>Cod de intervenție</t>
  </si>
  <si>
    <t>Denumire cod</t>
  </si>
  <si>
    <t>TOTAL PROGRAM</t>
  </si>
  <si>
    <t>1.3.2 Formare/reconversie profesionala inclusiv Servicii de acompaniere socio-profesională</t>
  </si>
  <si>
    <t>1.4.1 Crearea de capacități de mici dimensiuni de producție și stocare de energie regenerabilă, inclusiv rețelele de transport aferente</t>
  </si>
  <si>
    <t xml:space="preserve">1.4.2 Achiziția de vehicule nepoluante și de stații de încărcare </t>
  </si>
  <si>
    <t>Prioritatea 1 - Gorj</t>
  </si>
  <si>
    <t>Indicatori de Output</t>
  </si>
  <si>
    <t>Indicatori de rezultat</t>
  </si>
  <si>
    <t>1.3.1 Sprijin AJOFM si centre de formare</t>
  </si>
  <si>
    <t>Realizarea/actualizarea de strategii</t>
  </si>
  <si>
    <t>Total Gorj</t>
  </si>
  <si>
    <t>1.4.3 Energie regenrabilă pentru gospodării</t>
  </si>
  <si>
    <t>Prioritatea 4 -Galati</t>
  </si>
  <si>
    <t>Prioritatea 6-Mures</t>
  </si>
  <si>
    <t>Prioritatea 5 -Prahova</t>
  </si>
  <si>
    <t>POTJ</t>
  </si>
  <si>
    <t>Prioritatea 7-Asistenta tehnica</t>
  </si>
  <si>
    <t>Asistenta tehnica</t>
  </si>
  <si>
    <t>salarii</t>
  </si>
  <si>
    <t>echipamente si mobilier</t>
  </si>
  <si>
    <t>instruire personal AM/OI, beneficiari</t>
  </si>
  <si>
    <t>organizare intalniri CM, deplasari monitorizare, alte comitete</t>
  </si>
  <si>
    <t>Verificare buget</t>
  </si>
  <si>
    <t>Total 1.1</t>
  </si>
  <si>
    <t>Cost unitar estimat (EURO)/procent din alocare axă</t>
  </si>
  <si>
    <t>Total 1.4</t>
  </si>
  <si>
    <t>Total 1.3</t>
  </si>
  <si>
    <t>Total 1.2</t>
  </si>
  <si>
    <t>Total 1.5</t>
  </si>
  <si>
    <t>Alocare Prioritatea 1</t>
  </si>
  <si>
    <t>Total Prioritatea 1</t>
  </si>
  <si>
    <t>Total POTJ</t>
  </si>
  <si>
    <t>UE (euro)</t>
  </si>
  <si>
    <t>BS (euro)</t>
  </si>
  <si>
    <t>Total (euro)</t>
  </si>
  <si>
    <t>Total Hunedoara</t>
  </si>
  <si>
    <t>Total Prioritatea 2</t>
  </si>
  <si>
    <t>Alocare Prioritatea 2</t>
  </si>
  <si>
    <t>Alocare Prioritatea 3</t>
  </si>
  <si>
    <t>Total prioritatea 3</t>
  </si>
  <si>
    <t>Total Dolj</t>
  </si>
  <si>
    <t>Alocare Prioritatea 4</t>
  </si>
  <si>
    <t>Total prioritatea 4</t>
  </si>
  <si>
    <t>Total Galati</t>
  </si>
  <si>
    <t>Total Prahova</t>
  </si>
  <si>
    <t>Total prioritatea 5</t>
  </si>
  <si>
    <t>Alocare Prioritatea 5</t>
  </si>
  <si>
    <t>Alocare prioritatea 6</t>
  </si>
  <si>
    <t>Total prioritatea 6</t>
  </si>
  <si>
    <t>Total Mures</t>
  </si>
  <si>
    <t>Alocare prioritatea 7</t>
  </si>
  <si>
    <t>Total AT</t>
  </si>
  <si>
    <t>total prioritatea 7</t>
  </si>
  <si>
    <t>1.6.1 investitii productive in intreprinderi mari</t>
  </si>
  <si>
    <t>1.6.2 invetsitii in intreprinderi ETS</t>
  </si>
  <si>
    <t>S.1 Studii, analize, rapoarte, strategii</t>
  </si>
  <si>
    <t>S.2 Campanii de comunicare și conștientizare</t>
  </si>
  <si>
    <t>S3 Participanți la cursuri de pregătire (personal AM / OI, beneficiari, solicitanți de finanțare)</t>
  </si>
  <si>
    <t>S.4 Personal AM / OI cu salarii finanțate / cofinanțate din POTJ</t>
  </si>
  <si>
    <t>S.5 Valoare dotări pentru funcționare AM / OI (mobilier și echipamente IT)</t>
  </si>
  <si>
    <t>Acțiunea 1.1 Dezvoltarea întreprinderilor și a antreprenoriatului</t>
  </si>
  <si>
    <t>Acțiunea 1.2 Sprijinirea tranziției forței de muncă</t>
  </si>
  <si>
    <t>Acțiunea 1.4 Sprijin pentru ecologizarea și reconversia imobilelor afectate de activități economice în declin sau în transformare</t>
  </si>
  <si>
    <t>Acțiunea 1.5 Investiții pentru întreprinderi mari</t>
  </si>
  <si>
    <t>1.3.1 Crearea de capacități de mici dimensiuni de producție și stocare de energie regenerabilă, inclusiv rețelele de transport aferente</t>
  </si>
  <si>
    <t xml:space="preserve">1.3.2 Achiziția de vehicule nepoluante și de stații de încărcare </t>
  </si>
  <si>
    <t>1.3.3 Energie regenrabilă pentru gospodării</t>
  </si>
  <si>
    <t>1.5.1 investitii productive in intreprinderi mari</t>
  </si>
  <si>
    <t>1.5.2 investitii in intreprinderi ETS</t>
  </si>
  <si>
    <t>total 1.2</t>
  </si>
  <si>
    <t>1.1.1.Investitie productivă inclusiv subvenții de angajare (Ajutor regional) +  digitalizare, transfer tehnologic, promovare (Ajutor de minimis) +Formare / recalificare profesională a lucrătorilor</t>
  </si>
  <si>
    <t>1.1.2 a Creare și dezvoltare de microîntreprinderi (Ajutor de minimis)</t>
  </si>
  <si>
    <t>1.1.2 b Infrastructura de afaceri (Ajutor regional + Ajutor de minimis)</t>
  </si>
  <si>
    <t>1.6 Investiții productive în întreprinderi mari în domeniile identificate la nivelul PTTJ, cu includerea prealabilă a acestora în planul teritorial.</t>
  </si>
  <si>
    <t>1.5.1 Investiții productive în întreprinderi mari în domeniile identificate la nivelul PTTJ, cu includerea prealabilă a acestora în planul teritorial.</t>
  </si>
  <si>
    <t>Acțiunea 1.5 si 1.6 Investiții pentru întreprinderi mari</t>
  </si>
  <si>
    <t>1.5 Investiție pentru reducerea substanțială a emisiilor ETS aferente producției de fertilizanți chimici</t>
  </si>
  <si>
    <t xml:space="preserve">Acțiunea 1.4 Sprijin pentru ecologizarea și reconversia imobilelor afectate de activități industriale </t>
  </si>
  <si>
    <t xml:space="preserve">Acțiunea 1.3 Energie verde accesibilă și mobilitate nepoluantă </t>
  </si>
  <si>
    <t>1.3.3 Energie regenerabilă pentru gospodării</t>
  </si>
  <si>
    <t>1.5.1 nvestiții productive în întreprinderi mari în domeniile identificate la nivelul PTTJ, cu includerea prealabilă a acestora în planul teritorial.</t>
  </si>
  <si>
    <t>Acțiunea 1.5 nvestiții productive în întreprinderi mari în domeniile identificate la nivelul PTTJ, cu includerea prealabilă a acestora în planul teritorial.</t>
  </si>
  <si>
    <t xml:space="preserve">Acțiunea 1.3 Sprijinirea investițiilor în tehnologiile energetice curate </t>
  </si>
  <si>
    <t>1.6 investitii productive in intreprinderi mari</t>
  </si>
  <si>
    <t>1.5. Investiție de reducere a emisiilor producției de oțel</t>
  </si>
  <si>
    <t>Acțiunea 1.5 și 1.6 Investiții pentru întreprinderi mari</t>
  </si>
  <si>
    <t>Total 1.5 și 1.6</t>
  </si>
  <si>
    <t>Acțiunea 1.5 Investiții productive în întreprinderi mari în domeniile identificate la nivelul PTTJ, cu includerea prealabilă a acestora în planul teritorial.</t>
  </si>
  <si>
    <t xml:space="preserve">Acțiunea 1.3 Investiții în mobilitatea verde și energie curată la prețuri accesibile </t>
  </si>
  <si>
    <t>Acțiunea 1.2 Creșterea nivelului de ocupare a forței de muncă prin măsuri de investiții în actualizarea competențelor și / sau recalificarea persoanelor aflate în căutarea unui loc de muncă, precum și în servicii de asistență și în măsuri active de ocupare pentru acestea</t>
  </si>
  <si>
    <t xml:space="preserve">RCO 59 - Infrastructură pentru combustibili alternativi </t>
  </si>
  <si>
    <t>RCO74 Populația acoperită de dezvoltarea teritorială integrată</t>
  </si>
  <si>
    <t>RCO75 Strategii de dezvoltare teritorială integrată</t>
  </si>
  <si>
    <t>S6-Gospodării sprijinite pentru a dobândi statutul de prosumator</t>
  </si>
  <si>
    <t>salarii,inclusiv costuri administative si de funcționare</t>
  </si>
  <si>
    <t xml:space="preserve"> S7 - Infrastructură pentru combustibili alternativi </t>
  </si>
  <si>
    <t>S8 -Populația vizată de proiecte derulate în cadrul strategiilor de dezvoltare teritorială integrată</t>
  </si>
  <si>
    <t>S9 -Strategii de dezvoltare teritorială integrată care beneficiază de sprijin</t>
  </si>
  <si>
    <t>1.2.1 Sprijin AJOFM si centre de formare</t>
  </si>
  <si>
    <t>1.2.2 Formare/reconversie profesionala inclusiv Servicii de acompaniere socio-profesională</t>
  </si>
  <si>
    <t>Investiții productive în întreprinderi mari legate în principal de tehnologii curate și eficiente din punct de vedere al resurselor</t>
  </si>
  <si>
    <t>Investiții productive în IMM-uri legate în principal de tehnologii curate și eficiente din punct de vedere al resurselor</t>
  </si>
  <si>
    <t>Investiții productive în IMM-uri legate în principal de biotehnologii</t>
  </si>
  <si>
    <t>Investiții productive în IMM-uri legate în principal de tehnologii digitale și inovare tehnologică profundă</t>
  </si>
  <si>
    <t>188</t>
  </si>
  <si>
    <t>189</t>
  </si>
  <si>
    <t>190</t>
  </si>
  <si>
    <t>191</t>
  </si>
  <si>
    <t>Investiţii productive în întreprinderi mari legate în principal de domeniul tehnologiilor curate și eficiente din punctul de vedere al utilizării resurselor.</t>
  </si>
  <si>
    <t>Investiţii productive în IMM-uri legate în principal de domeniul tehnologiilor curate și eficiente din punctul de vedere al utilizării resurselor.</t>
  </si>
  <si>
    <t>Investiţii productive în întreprinderi mari legate în principal de domeniul biotehnologiilor</t>
  </si>
  <si>
    <t>Investiţii productive în IMM-uri legate în principal de domeniul biotehnologiilor</t>
  </si>
  <si>
    <t>Acțiunea 8.2 Investiții pentru reducerea substanțială a emisiilor ETS care contribuie la obiectivele platformei STEP</t>
  </si>
  <si>
    <t>Valoarea de baza</t>
  </si>
  <si>
    <t>RCO 01 – Întreprinderi care beneficiază de sprijin (din care: micro, mici, medii, mari)</t>
  </si>
  <si>
    <t>RCO 02 – Întreprinderi care beneficiază de sprijin prin granturi</t>
  </si>
  <si>
    <t>RCO 05 – Întreprinderi nou înființate care beneficiază de sprijin</t>
  </si>
  <si>
    <t>Acțiunea 8.1 Dezvoltarea întreprinderilor și antreprenoriatului care contribuie la obiectivele platformei STEP în cadrul Priorițăților 1-6</t>
  </si>
  <si>
    <t>Incubare, sprijinirea întreprinderilor de tip spin-off și spin-out și a start-up-urilor</t>
  </si>
  <si>
    <t>Prioritatea 6 - Mures</t>
  </si>
  <si>
    <t>Alocare Prioritatea 6</t>
  </si>
  <si>
    <t>baza</t>
  </si>
  <si>
    <t>Prioritatea 8 - STEP</t>
  </si>
  <si>
    <t>Total STEP</t>
  </si>
  <si>
    <t>Total Prioritatea 8</t>
  </si>
  <si>
    <t>Alocare prioritatea 8</t>
  </si>
  <si>
    <t>RCO 03 - Întreprinderi noi sprijinite prin instrumente financiare</t>
  </si>
  <si>
    <t>tinta 2029 modificata</t>
  </si>
  <si>
    <t>alocare UE modificata</t>
  </si>
  <si>
    <t>alocare BS modificata</t>
  </si>
  <si>
    <t>Total modificat</t>
  </si>
  <si>
    <t>total prioritatea 9</t>
  </si>
  <si>
    <t xml:space="preserve">Renovarea fondului locativ existent în vederea creșterii eficienței energetice, proiecte demonstrative și măsuri de sprijin care respectă criteriile de eficiență energetică </t>
  </si>
  <si>
    <t>RCO18 Locuințe la prețuri accesibile și durabile cu performanță energetică îmbunătățită</t>
  </si>
  <si>
    <t>RCR26 Consumul anual de energie primară (dintre care: locuințe la prețuri accesibile și durabile, clădiri publice, întreprinderi, altele)</t>
  </si>
  <si>
    <t>UM</t>
  </si>
  <si>
    <t>persoane</t>
  </si>
  <si>
    <t>intreprinderi</t>
  </si>
  <si>
    <t>MW</t>
  </si>
  <si>
    <t>ha</t>
  </si>
  <si>
    <t>pasageri</t>
  </si>
  <si>
    <t>mp</t>
  </si>
  <si>
    <t>nr. Gospodarii</t>
  </si>
  <si>
    <t>nr. Puncte</t>
  </si>
  <si>
    <t>nr. puncte</t>
  </si>
  <si>
    <t>FTE annual</t>
  </si>
  <si>
    <t>MW ore/an</t>
  </si>
  <si>
    <t>utilizatori/an</t>
  </si>
  <si>
    <t>nr. gospodării</t>
  </si>
  <si>
    <t>număr de persoane</t>
  </si>
  <si>
    <t>nr. de contribuții</t>
  </si>
  <si>
    <t>FTE anual</t>
  </si>
  <si>
    <t>MWh/an</t>
  </si>
  <si>
    <t>nr. gospodarii</t>
  </si>
  <si>
    <t>nr. puncte incarcare</t>
  </si>
  <si>
    <t>intreprinderi/an</t>
  </si>
  <si>
    <t>HA</t>
  </si>
  <si>
    <t>nr puncte incarcare</t>
  </si>
  <si>
    <t>tone CO2 eq./an</t>
  </si>
  <si>
    <t>nr.</t>
  </si>
  <si>
    <t>FTE</t>
  </si>
  <si>
    <t>Euro</t>
  </si>
  <si>
    <t>euro</t>
  </si>
  <si>
    <t>locuinte</t>
  </si>
  <si>
    <t>RCR26</t>
  </si>
  <si>
    <t>RCR29</t>
  </si>
  <si>
    <t>echivalent tone CO2/an</t>
  </si>
  <si>
    <t>cost unitar/mp util (Euro/mp)*</t>
  </si>
  <si>
    <t>1.1.1.Investitie productivă inclusiv subvenții de angajare (Ajutor regional) +  digitalizare, transfer tehnologic, promovare (Ajutor de minimis) +Formare / recalificare profesională a lucrătorilor+Creare și dezvoltare de microîntreprinderi (Ajutor de minimis)</t>
  </si>
  <si>
    <t>1.1.2  Infrastructura de afaceri (Ajutor regional + Ajutor de minimis)</t>
  </si>
  <si>
    <t>1.1.2 Infrastructura de afaceri (Ajutor regional + Ajutor de minimis)</t>
  </si>
  <si>
    <t>Indicatori in relatie cu toate proiectele din zona ADTI Valea Jiului</t>
  </si>
  <si>
    <t>nr locuinte</t>
  </si>
  <si>
    <t>192</t>
  </si>
  <si>
    <t>Investiţii productive în întreprinderi mari legate în principal de domeniul tehnologiilor digitale și al inovaţiilor în tehnologii profunde.</t>
  </si>
  <si>
    <t>0 %</t>
  </si>
  <si>
    <t>193</t>
  </si>
  <si>
    <t>Investiţii productive în IMM-uri legate în principal de domeniul tehnologiilor digitale și al inovaţiilor în tehnologii profunde.</t>
  </si>
  <si>
    <t>Investiţii productive în întreprinderi mari legate în principal de domeniul tehnologiilor digitale și al inovaţiilor în tehnologii profunde</t>
  </si>
  <si>
    <t>pentru calculul locurilor de munca s-au luat in considerare urmatoarele  valori:</t>
  </si>
  <si>
    <t>Valoarea de baza modificata</t>
  </si>
  <si>
    <t>suprafata medie/locuinta (mp)</t>
  </si>
  <si>
    <t>suprafata reabilitata</t>
  </si>
  <si>
    <t>dupa interventie</t>
  </si>
  <si>
    <t>* s-a folosit modelul programelor regionale</t>
  </si>
  <si>
    <t>MWh/an la 5000 locuinte</t>
  </si>
  <si>
    <t>Inaintea interventiei</t>
  </si>
  <si>
    <t>MWh/an la 3800 locuinte*</t>
  </si>
  <si>
    <t>emisii CO2 pentru o locuinta cu o suprafata de 50 mp</t>
  </si>
  <si>
    <t>30 kgCO2/mp/an</t>
  </si>
  <si>
    <t>renovarea moderată presupune economii de energie primară cuprinse între 30-60%</t>
  </si>
  <si>
    <t>o reducere de cel puţin 30 % a emisiilor directe și indirecte de gaze cu efect de seră în comparaţie cu emisiile ex-ante</t>
  </si>
  <si>
    <t>Ajustarea valorii indicatorului de rezultat RCR01 „Locuri de muncă create în entitățile care beneficiază de sprijin”  luate în considerare următoarele aspecte:</t>
  </si>
  <si>
    <t>PTJ</t>
  </si>
  <si>
    <t>Prioritatea 2-Hunedoara</t>
  </si>
  <si>
    <t>Total PTJ</t>
  </si>
  <si>
    <t>Prioritatea 4-Galati</t>
  </si>
  <si>
    <t>Prioritatea 5-Prahova</t>
  </si>
  <si>
    <t>Alocare prioritatea 7 - Asistenta tehnica</t>
  </si>
  <si>
    <t>Total prioritatea 7</t>
  </si>
  <si>
    <t>Prioritatea 9 - Locuinte accesibile</t>
  </si>
  <si>
    <t>Alocare Prioritatea 9</t>
  </si>
  <si>
    <t>RCO 13 – Valoarea serviciilor, a produselor și a proceselor digitale dezvoltate pentru întreprinderi</t>
  </si>
  <si>
    <t>RCO 121a – Întreprinderi care beneficiază de sprijin în vederea reducerii emisiilor de gaze cu efect de seră generate de activitățile enumerate în anexa I la Directiva 2003/87/CE</t>
  </si>
  <si>
    <t xml:space="preserve">RCO 20 – Conducte ale rețelei de termoficare și răcire centralizată nou construite sau îmbunătățite
</t>
  </si>
  <si>
    <t>RCO 22 – Capacitate de producție suplimentară pentru energia din surse regenerabile (din care: energie electrică, termică)</t>
  </si>
  <si>
    <t>RCO 36 – Infrastructuri verzi care beneficiază de sprijin pentru alte scopuri decât adaptarea la schimbările climatice</t>
  </si>
  <si>
    <t>RCR 52 – Sol reabilitat utilizat pentru zone verzi, locuințe sociale, activități economice sau alte utilizări</t>
  </si>
  <si>
    <t>RCR 65 – Număr anual de utilizatori ai structurilor noi sau modernizate ale serviciilor de ocupare a forței de muncă</t>
  </si>
  <si>
    <t>RCO 61 – Suprafața structurilor noi sau modernizate ale serviciilor de ocupare a forței de muncă</t>
  </si>
  <si>
    <t>RCO 113 – Populația vizată de proiecte derulate în cadrul acțiunilor integrate pentru incluziunea socioeconomică a comunităților marginalizate, a gospodăriilor cu venituri reduse
și a grupurilor dezavantajate</t>
  </si>
  <si>
    <t>RCO 70 – Capacitatea unităților de asistență socială noi sau modernizate (altele decât locuințele)</t>
  </si>
  <si>
    <t>EECR 02 – participanți care urmează studii sau cursuri de formare la încetarea calității de participant (**)</t>
  </si>
  <si>
    <t>EECR 01 – participanți aflați în căutarea unui loc de muncă la încetarea calității de participant (**)</t>
  </si>
  <si>
    <t>EECR 04 – participanți care au un loc de muncă, inclusiv care desfășoară o activitate independentă, la încetarea calității de participant</t>
  </si>
  <si>
    <r>
      <t>Incubare, sprijinirea întreprinderilor de tip </t>
    </r>
    <r>
      <rPr>
        <i/>
        <sz val="10"/>
        <color rgb="FF000000"/>
        <rFont val="Calibri"/>
        <family val="2"/>
        <scheme val="minor"/>
      </rPr>
      <t>spin-off</t>
    </r>
    <r>
      <rPr>
        <sz val="10"/>
        <color rgb="FF000000"/>
        <rFont val="Calibri"/>
        <family val="2"/>
        <scheme val="minor"/>
      </rPr>
      <t> și </t>
    </r>
    <r>
      <rPr>
        <i/>
        <sz val="10"/>
        <color rgb="FF000000"/>
        <rFont val="Calibri"/>
        <family val="2"/>
        <scheme val="minor"/>
      </rPr>
      <t>spin-out</t>
    </r>
    <r>
      <rPr>
        <sz val="10"/>
        <color rgb="FF000000"/>
        <rFont val="Calibri"/>
        <family val="2"/>
        <scheme val="minor"/>
      </rPr>
      <t> și a start-up-urilor</t>
    </r>
  </si>
  <si>
    <t>RCO 03 – Întreprinderi care beneficiază de sprijin prin instrumente financiare</t>
  </si>
  <si>
    <t>RCO 04 – Întreprinderi care beneficiază de sprijin nefinanciar</t>
  </si>
  <si>
    <t>RCO 101 – IMM-uri care investesc în competențe pentru specializare inteligentă, pentru tranziție industrială și antreprenoriat</t>
  </si>
  <si>
    <t>RCO 19 – Clădiri publice cu performanță energetică îmbunătățită</t>
  </si>
  <si>
    <r>
      <t xml:space="preserve">NOTA indicatorii propusi a se modifica se vor realiza </t>
    </r>
    <r>
      <rPr>
        <b/>
        <sz val="11"/>
        <rFont val="Calibri"/>
        <family val="2"/>
        <scheme val="minor"/>
      </rPr>
      <t>conform recomandărilor analizei ex-ante</t>
    </r>
  </si>
  <si>
    <r>
      <t xml:space="preserve">Conform analizei ex-ante vor beneficia de sprijin prin instrumetul financiar  un numar de aproximativ </t>
    </r>
    <r>
      <rPr>
        <b/>
        <sz val="11"/>
        <color theme="1"/>
        <rFont val="Calibri"/>
        <family val="2"/>
        <scheme val="minor"/>
      </rPr>
      <t>7 intreprinderi mari</t>
    </r>
    <r>
      <rPr>
        <sz val="11"/>
        <color theme="1"/>
        <rFont val="Calibri"/>
        <family val="2"/>
        <scheme val="minor"/>
      </rPr>
      <t xml:space="preserve"> (valoarea medie proiect fiind calculată la </t>
    </r>
    <r>
      <rPr>
        <b/>
        <sz val="11"/>
        <color theme="1"/>
        <rFont val="Calibri"/>
        <family val="2"/>
        <scheme val="minor"/>
      </rPr>
      <t>16,2 mil euro/proiect</t>
    </r>
    <r>
      <rPr>
        <sz val="11"/>
        <color theme="1"/>
        <rFont val="Calibri"/>
        <family val="2"/>
        <scheme val="minor"/>
      </rPr>
      <t xml:space="preserve">) și </t>
    </r>
    <r>
      <rPr>
        <b/>
        <sz val="11"/>
        <color theme="1"/>
        <rFont val="Calibri"/>
        <family val="2"/>
        <scheme val="minor"/>
      </rPr>
      <t>20 IMM</t>
    </r>
    <r>
      <rPr>
        <sz val="11"/>
        <color theme="1"/>
        <rFont val="Calibri"/>
        <family val="2"/>
        <scheme val="minor"/>
      </rPr>
      <t xml:space="preserve"> (valoarea medie proiect fiind calculată la </t>
    </r>
    <r>
      <rPr>
        <b/>
        <sz val="11"/>
        <color theme="1"/>
        <rFont val="Calibri"/>
        <family val="2"/>
        <scheme val="minor"/>
      </rPr>
      <t>3,75 mil euro/proiect</t>
    </r>
    <r>
      <rPr>
        <sz val="11"/>
        <color theme="1"/>
        <rFont val="Calibri"/>
        <family val="2"/>
        <scheme val="minor"/>
      </rPr>
      <t>)</t>
    </r>
  </si>
  <si>
    <r>
      <t xml:space="preserve">1. Cu privire la </t>
    </r>
    <r>
      <rPr>
        <b/>
        <sz val="11"/>
        <color theme="1"/>
        <rFont val="Calibri"/>
        <family val="2"/>
        <scheme val="minor"/>
      </rPr>
      <t>IMM-uri (20 societăți)</t>
    </r>
    <r>
      <rPr>
        <sz val="11"/>
        <color theme="1"/>
        <rFont val="Calibri"/>
        <family val="2"/>
        <scheme val="minor"/>
      </rPr>
      <t xml:space="preserve"> se propune </t>
    </r>
    <r>
      <rPr>
        <b/>
        <sz val="11"/>
        <color theme="1"/>
        <rFont val="Calibri"/>
        <family val="2"/>
        <scheme val="minor"/>
      </rPr>
      <t>crearea a minim 5 locuri de muncă/IMM</t>
    </r>
    <r>
      <rPr>
        <sz val="11"/>
        <color theme="1"/>
        <rFont val="Calibri"/>
        <family val="2"/>
        <scheme val="minor"/>
      </rPr>
      <t xml:space="preserve"> rezultând un număr de </t>
    </r>
    <r>
      <rPr>
        <b/>
        <sz val="11"/>
        <color theme="1"/>
        <rFont val="Calibri"/>
        <family val="2"/>
        <scheme val="minor"/>
      </rPr>
      <t>100 de locuri de muncă nou create</t>
    </r>
    <r>
      <rPr>
        <sz val="11"/>
        <color theme="1"/>
        <rFont val="Calibri"/>
        <family val="2"/>
        <scheme val="minor"/>
      </rPr>
      <t xml:space="preserve">, ținând cont că </t>
    </r>
    <r>
      <rPr>
        <b/>
        <sz val="11"/>
        <color theme="1"/>
        <rFont val="Calibri"/>
        <family val="2"/>
        <scheme val="minor"/>
      </rPr>
      <t>valoarea maximă a unui proiect este de 10 milioane Euro</t>
    </r>
    <r>
      <rPr>
        <sz val="11"/>
        <color theme="1"/>
        <rFont val="Calibri"/>
        <family val="2"/>
        <scheme val="minor"/>
      </rPr>
      <t>.</t>
    </r>
  </si>
  <si>
    <r>
      <t xml:space="preserve">2. Cu privire la </t>
    </r>
    <r>
      <rPr>
        <b/>
        <sz val="11"/>
        <color theme="1"/>
        <rFont val="Calibri"/>
        <family val="2"/>
        <scheme val="minor"/>
      </rPr>
      <t>Întreprinderile mari (7 societăți)</t>
    </r>
    <r>
      <rPr>
        <sz val="11"/>
        <color theme="1"/>
        <rFont val="Calibri"/>
        <family val="2"/>
        <scheme val="minor"/>
      </rPr>
      <t xml:space="preserve">, prin raportare la </t>
    </r>
    <r>
      <rPr>
        <b/>
        <sz val="11"/>
        <color theme="1"/>
        <rFont val="Calibri"/>
        <family val="2"/>
        <scheme val="minor"/>
      </rPr>
      <t>valoarea maximă a unui proiect care poate ajunge și la 50 milioane Euro</t>
    </r>
    <r>
      <rPr>
        <sz val="11"/>
        <color theme="1"/>
        <rFont val="Calibri"/>
        <family val="2"/>
        <scheme val="minor"/>
      </rPr>
      <t xml:space="preserve">, ceea ce înseamnă o diferență de aproximativ 5 de ori mai mare față de valoarea unui proiect pentru IMM se poate considera un număr de </t>
    </r>
    <r>
      <rPr>
        <b/>
        <sz val="11"/>
        <color theme="1"/>
        <rFont val="Calibri"/>
        <family val="2"/>
        <scheme val="minor"/>
      </rPr>
      <t>25 locuri de muncă pe ÎM</t>
    </r>
    <r>
      <rPr>
        <sz val="11"/>
        <color theme="1"/>
        <rFont val="Calibri"/>
        <family val="2"/>
        <scheme val="minor"/>
      </rPr>
      <t xml:space="preserve">. Pe de altă parte, luând în considerare faptul că proiectele vizează operațiuni de nișă și care presupun activități de cercetare inovare dezvoltare nivelul locurilor de muncă nou create nu poate fi cuantificat direct prin multiplicarea celor 5 locuri de muncă de la IMM, prin urmare </t>
    </r>
    <r>
      <rPr>
        <b/>
        <sz val="11"/>
        <color theme="1"/>
        <rFont val="Calibri"/>
        <family val="2"/>
        <scheme val="minor"/>
      </rPr>
      <t>se estimează un nivel mediu al locurilor de muncă nou create pe ÎM de 25</t>
    </r>
    <r>
      <rPr>
        <sz val="11"/>
        <color theme="1"/>
        <rFont val="Calibri"/>
        <family val="2"/>
        <scheme val="minor"/>
      </rPr>
      <t>.</t>
    </r>
  </si>
  <si>
    <r>
      <t xml:space="preserve">În această situație, rezulta pentru </t>
    </r>
    <r>
      <rPr>
        <b/>
        <sz val="11"/>
        <color theme="1"/>
        <rFont val="Calibri"/>
        <family val="2"/>
        <scheme val="minor"/>
      </rPr>
      <t>IMM-uri 100 de locuri de muncă noi,</t>
    </r>
    <r>
      <rPr>
        <sz val="11"/>
        <color theme="1"/>
        <rFont val="Calibri"/>
        <family val="2"/>
        <scheme val="minor"/>
      </rPr>
      <t xml:space="preserve"> iar la </t>
    </r>
    <r>
      <rPr>
        <b/>
        <sz val="11"/>
        <color theme="1"/>
        <rFont val="Calibri"/>
        <family val="2"/>
        <scheme val="minor"/>
      </rPr>
      <t>ÎM 175 de locuri de muncă noi</t>
    </r>
    <r>
      <rPr>
        <sz val="11"/>
        <color theme="1"/>
        <rFont val="Calibri"/>
        <family val="2"/>
        <scheme val="minor"/>
      </rPr>
      <t xml:space="preserve">, valoare totală a indicatorului </t>
    </r>
    <r>
      <rPr>
        <b/>
        <sz val="11"/>
        <color theme="1"/>
        <rFont val="Calibri"/>
        <family val="2"/>
        <scheme val="minor"/>
      </rPr>
      <t>275 locuri de muncă</t>
    </r>
    <r>
      <rPr>
        <sz val="11"/>
        <color theme="1"/>
        <rFont val="Calibri"/>
        <family val="2"/>
        <scheme val="minor"/>
      </rPr>
      <t>.</t>
    </r>
  </si>
  <si>
    <t>diferenta</t>
  </si>
  <si>
    <t>diferente de la P1-6</t>
  </si>
  <si>
    <t>P6 (MS)</t>
  </si>
  <si>
    <t>P5 (PH)</t>
  </si>
  <si>
    <t>P4 (GL)</t>
  </si>
  <si>
    <t>P3 (DJ)</t>
  </si>
  <si>
    <t>P2 (HD)</t>
  </si>
  <si>
    <t>P1 (GJ)</t>
  </si>
  <si>
    <t>Total realocat catre P9 (UE)</t>
  </si>
  <si>
    <t>RCR 18 – IMM-uri care utilizează servicii ale unor pepiniere de afaceri după crearea pepinierelor</t>
  </si>
  <si>
    <t>Indicatori output</t>
  </si>
  <si>
    <t xml:space="preserve">S7 - Infrastructură pentru combustibili alternativi </t>
  </si>
  <si>
    <t>RCR 01 Locuri de muncă create în entitățile care beneficiază de sprijin</t>
  </si>
  <si>
    <t>RCR 02 Investiții private care completează sprijinul public (din care: granturi, instrumente financiare)</t>
  </si>
  <si>
    <t>RCR 17 Întreprinderi noi aflate încă pe piață</t>
  </si>
  <si>
    <t>RCO 121a Întreprinderi care beneficiază de sprijin în vederea reducerii emisiilor de gaze cu efect de seră generate de activitățile enumerate în anexa I la Directiva 2003/87/CE</t>
  </si>
  <si>
    <t>RCO 127a Firme: Întreprinderi sprijinite legate în principal de investiții productive în biotehnologii</t>
  </si>
  <si>
    <t>RCO 126a Firme: Întreprinderi sprijinite, legate în principal de investiții productive în tehnologii curate și eficiente din punct de vedere al resurselor</t>
  </si>
  <si>
    <t>RCO 125a Firme: Întreprinderi sprijinite, legate în principal de tehnologii digitale și investiții productive în inovare tehnologică profundă</t>
  </si>
  <si>
    <t>RCR 29a Emisii de gaze cu efect de seră estimate, generate de activitățile enumerate în anexa I la Directiva 2003/87/CE în întreprinderile care beneficiază de sprijin</t>
  </si>
  <si>
    <t>RCR29 Emisii estimate de gaze cu efect de seră</t>
  </si>
  <si>
    <t>RCR 29 – Emisii estimate de gaze cu efect de seră</t>
  </si>
  <si>
    <t>%</t>
  </si>
  <si>
    <t>alocare UE modif ian 26</t>
  </si>
  <si>
    <t>explicatii</t>
  </si>
  <si>
    <t>RCR 98 – Angajați din IMM-uri care finalizează programe de formare a competențelor pentru specializare inteligentă, pentru tranziție industrială și antreprenoriat (pe tip de competențe: tehnice, de management, de antreprenoriat, verzi, altele</t>
  </si>
  <si>
    <t>se mentine</t>
  </si>
  <si>
    <t>se reduce</t>
  </si>
  <si>
    <t>Infrastructuri de transport urban curate </t>
  </si>
  <si>
    <t xml:space="preserve">1.3.2 Achiziția de vehicule nepoluante și de stații de încărcare 
</t>
  </si>
  <si>
    <t xml:space="preserve">1.3.3 Energie regenrabilă pentru gospodării
</t>
  </si>
  <si>
    <t>se mentine 
(se va aplica supracontractare)</t>
  </si>
  <si>
    <t>se diminueaza cu 9.464.930 euro, care se realoca catre noul code introdus 081</t>
  </si>
  <si>
    <t xml:space="preserve">diminuare cu 1.827.500 euro realocati catre noul cod introdus 025 </t>
  </si>
  <si>
    <t>creste</t>
  </si>
  <si>
    <t>RCR 17 – Întreprinderi noi aflate încă pe piață</t>
  </si>
  <si>
    <t>Infrastructuri de transport urban curate</t>
  </si>
  <si>
    <t>Material rulant de transport urban curat</t>
  </si>
  <si>
    <t>Infrastructuri pentru combustibili alternativi</t>
  </si>
  <si>
    <t>RCO 60 - Oraşe şi localităţi cu sisteme de transport urban modernizate</t>
  </si>
  <si>
    <t>se diminueaza cu 735.070 euro, care se realoca catre noul code introdus 081</t>
  </si>
  <si>
    <t>realocarea intregii alocari disponibile de la cod 073 catre cod 020</t>
  </si>
  <si>
    <t>tinta 2029 modificata (prop dec 2025)</t>
  </si>
  <si>
    <t>tinta 2029 modificata (prop ian 2026)</t>
  </si>
  <si>
    <t xml:space="preserve">alocare UE modificata </t>
  </si>
  <si>
    <t>modificari conf. propunere decembrie 2025</t>
  </si>
  <si>
    <t>modificari conf. propunere ianuarie 2026</t>
  </si>
  <si>
    <t>tinta 2029 modificata (prop decembrie 2025)</t>
  </si>
  <si>
    <t>diminuare alocare cod 139 cu 3.797.953 euro si realocare catre cod 020</t>
  </si>
  <si>
    <t>realocarea intregii alocari disponibile de la cod 082 catre noul cod 081</t>
  </si>
  <si>
    <t xml:space="preserve">alocare sumei de 8.500.000 euro prin realocari, astfel:
3.245.085 euro de la cod 047;
5.254.915 euro de la RES gospodarii, cod 048 
</t>
  </si>
  <si>
    <r>
      <t xml:space="preserve">diminuare alocare cod 048 cu suma totala de </t>
    </r>
    <r>
      <rPr>
        <b/>
        <sz val="11"/>
        <color rgb="FF0070C0"/>
        <rFont val="Calibri"/>
        <family val="2"/>
        <scheme val="minor"/>
      </rPr>
      <t>9.266.065 euro</t>
    </r>
    <r>
      <rPr>
        <sz val="11"/>
        <color rgb="FF0070C0"/>
        <rFont val="Calibri"/>
        <family val="2"/>
        <scheme val="minor"/>
      </rPr>
      <t>, si realocarea acesteia astfel: 4.011.150 euro catre noul cod 081
5.254.915 euro catre noul cod 025</t>
    </r>
  </si>
  <si>
    <t>realocarea intregii alocari disponibile de 425.000 euro catre noul cod 081</t>
  </si>
  <si>
    <t>km</t>
  </si>
  <si>
    <t>diminuarea alocarii cu 2.379.845 euro (din val. totala de 4.379.845 euro nelansata din bugetul alocat pt RES UAT) si realocarea catre 073</t>
  </si>
  <si>
    <t>diminuarea alocarii cu 2.000.000 euro (din val. totala de 4.379.845 euro nelansata din bugetul alocat pt RES UAT) si realocarea catre 073</t>
  </si>
  <si>
    <r>
      <t xml:space="preserve">suplimentarea alocarii cu </t>
    </r>
    <r>
      <rPr>
        <b/>
        <sz val="11"/>
        <color rgb="FF0070C0"/>
        <rFont val="Calibri"/>
        <family val="2"/>
        <scheme val="minor"/>
      </rPr>
      <t>26.000.000 euro</t>
    </r>
    <r>
      <rPr>
        <sz val="11"/>
        <color rgb="FF0070C0"/>
        <rFont val="Calibri"/>
        <family val="2"/>
        <scheme val="minor"/>
      </rPr>
      <t>, prin realocare de la:
048 (RES gospodarii): 21.620.155 euro
047 (RES UAT eolian): 2.379.845 euro
052 (RES UAT alte surse): 2.000.000 euro</t>
    </r>
  </si>
  <si>
    <t>alocarea sumei de 10.200.000 euro prin realocare de la:
cod 082: 9.464.930 euro
cod 086: 735.070 euro</t>
  </si>
  <si>
    <t xml:space="preserve">realocarea sumei de 3.245.085 euro de la cod 047 (val. Nelansata din bugetul alocat) catre noul cod 025 </t>
  </si>
  <si>
    <t>Material rulant de transport urban curat </t>
  </si>
  <si>
    <t>alocarea sumei de 4.250.000 euro pentru noul cod introdus 025, prin diminuarea alocarii codului 073</t>
  </si>
  <si>
    <t>diminuarea si realocare sumei  de 4.250.000 euro catre noul cod introdus 025</t>
  </si>
  <si>
    <t xml:space="preserve">1.1.2  Infrastructura de afaceri (Ajutor regional + Ajutor de minimis)
</t>
  </si>
  <si>
    <t>Acțiunea 1.6 investițiile în clădiri publice cu destinație socio-culturală și sportivă</t>
  </si>
  <si>
    <t>Total 1.6</t>
  </si>
  <si>
    <t>Total 1.7</t>
  </si>
  <si>
    <t>diminuarea cu 2.815.597 euro (din valoarea totala nelansata, de 4.331.597 euro, din bugetul alocat RES UAT) si realocare catre noul cod 127</t>
  </si>
  <si>
    <t>diminuarea cu 1.516.000 euro (din valoarea totala nelansata, de 4.331.597 euro, din bugetul alocat RES UAT) si realocare catre noul cod 127</t>
  </si>
  <si>
    <t>Acțiunea 1.7 Investiții suplimentare în reziliența în domeniul apei</t>
  </si>
  <si>
    <t>se adauga</t>
  </si>
  <si>
    <t>Acțiunea 1.6 Creare incubator de educație comunitară si inovare socială</t>
  </si>
  <si>
    <t xml:space="preserve">1.6.1 Dezvoltarea competențelor membrilor societății civile în vederea pregătirii și implementării proiectelor vizate de procesul de tranziție justă </t>
  </si>
  <si>
    <t>diminuarea alocarii cu 22.120.155 euro si realocare, astfel:
21.620.155  euro la cod 073
500.000 euro la noul cod 137</t>
  </si>
  <si>
    <t xml:space="preserve">alocarea sumei de 1.827.500 euro pentru noul cod introdus 025 prin diminuarea alocarii codului 021  </t>
  </si>
  <si>
    <t>alocarea a 500.000 euro prin diminuarea alocarii codului 048 (RES gospodarii)</t>
  </si>
  <si>
    <t>diminuarea alocarii cu 1.000.000 euro si realocarea catre noul cod 025 al noii actiuni introduse</t>
  </si>
  <si>
    <t>EECO 01 – Numărul total de participanți</t>
  </si>
  <si>
    <t>EECR 04 – Participanți care au un loc de muncă, inclusiv care desfășoară o activitate independentă, la încetarea calității de participant</t>
  </si>
  <si>
    <t>S6 - Gospodării sprijinite pentru a dobândi statutul de prosumator</t>
  </si>
  <si>
    <t>EECO01 - Numărul total de participanți</t>
  </si>
  <si>
    <t>S8 - Populația vizată de proiecte derulate în cadrul strategiilor de dezvoltare teritorială integrată</t>
  </si>
  <si>
    <t>alocarea a 1.000.000 euro prin diminuarea alocarii codului 139</t>
  </si>
  <si>
    <t xml:space="preserve">EECO01 - Numărul total de participanți </t>
  </si>
  <si>
    <t>S9 - Strategii de dezvoltare teritorială integrată care beneficiază de sprijin</t>
  </si>
  <si>
    <t xml:space="preserve">1.6.2 Lansare program de cascade-funding pentru implicarea comunității (societate civilă, structuri educaționale) la procesul de tranziție justă în Valea Jiului </t>
  </si>
  <si>
    <t>EECR 04 – Participanți care au un loc de muncă, inclusiv care desfășoară o activitate
independentă, la încetarea calității de participant</t>
  </si>
  <si>
    <t>RCR 31 – Energie totală din surse regenerabile produsă (din care: energie electrică, termică)</t>
  </si>
  <si>
    <t xml:space="preserve">Initial, in programul aprobat </t>
  </si>
  <si>
    <t>In propunerea de modificare din dec 2025</t>
  </si>
  <si>
    <t>orase si localitati</t>
  </si>
  <si>
    <t>persoane/an</t>
  </si>
  <si>
    <t>diminuarea alocarii cu 19.121.353 euro si realocarea catre noul cod 127</t>
  </si>
  <si>
    <t xml:space="preserve">RCO 65 – Capacitatea locuințelor sociale, la prețuri accesibile și durabile, noi sau modernizate </t>
  </si>
  <si>
    <t>RCR 67 – Număr anual de utilizatori ai locuințelor sociale, la prețuri accesibile și durabile, noi sau modernizate </t>
  </si>
  <si>
    <t>Total 041 si 042</t>
  </si>
  <si>
    <t>50% minora, 30% medie si 20% aprofundata</t>
  </si>
  <si>
    <t>Acțiunea 1.6 Sprijinirea comunității prin infrastructuri socio-culturale și educative dedicate incluziunii sociale</t>
  </si>
  <si>
    <t>EECO01</t>
  </si>
  <si>
    <t>RCO 01</t>
  </si>
  <si>
    <t>RCO 02</t>
  </si>
  <si>
    <t>RCO04</t>
  </si>
  <si>
    <t>RCO05</t>
  </si>
  <si>
    <t>nou</t>
  </si>
  <si>
    <t>RCO22</t>
  </si>
  <si>
    <t>RCO38</t>
  </si>
  <si>
    <t>RCO57</t>
  </si>
  <si>
    <t>RCO61</t>
  </si>
  <si>
    <t>S6</t>
  </si>
  <si>
    <t>S7</t>
  </si>
  <si>
    <t>RCO55</t>
  </si>
  <si>
    <t>RCR01</t>
  </si>
  <si>
    <t>EECR04</t>
  </si>
  <si>
    <t>RCR18</t>
  </si>
  <si>
    <t>RCR31</t>
  </si>
  <si>
    <t>RCR52</t>
  </si>
  <si>
    <t>RCR62</t>
  </si>
  <si>
    <t>RCR65</t>
  </si>
  <si>
    <t>RCR17</t>
  </si>
  <si>
    <t>RCR63</t>
  </si>
  <si>
    <t>RCO01</t>
  </si>
  <si>
    <t>RCO02</t>
  </si>
  <si>
    <t>S8</t>
  </si>
  <si>
    <t>S9</t>
  </si>
  <si>
    <t>RCO70</t>
  </si>
  <si>
    <t>RCR74</t>
  </si>
  <si>
    <t>RCO60</t>
  </si>
  <si>
    <t>total pe indicator</t>
  </si>
  <si>
    <r>
      <t>RCO 1</t>
    </r>
    <r>
      <rPr>
        <sz val="11"/>
        <rFont val="Calibri"/>
        <family val="2"/>
        <scheme val="minor"/>
      </rPr>
      <t>21a</t>
    </r>
    <r>
      <rPr>
        <sz val="11"/>
        <color theme="1"/>
        <rFont val="Calibri"/>
        <family val="2"/>
        <scheme val="minor"/>
      </rPr>
      <t xml:space="preserve"> – Întreprinderi care beneficiază de sprijin în vederea reducerii emisiilor de gaze cu
efect de seră generate de activitățile enumerate în anexa I la Directiva 2003/87/CE</t>
    </r>
  </si>
  <si>
    <t>RCO121a</t>
  </si>
  <si>
    <t>RCR29a</t>
  </si>
  <si>
    <r>
      <t xml:space="preserve">suplimentare alocare cod 020 cu </t>
    </r>
    <r>
      <rPr>
        <b/>
        <sz val="11"/>
        <color rgb="FF0070C0"/>
        <rFont val="Calibri"/>
        <family val="2"/>
        <scheme val="minor"/>
      </rPr>
      <t>11.575.000 euro</t>
    </r>
    <r>
      <rPr>
        <sz val="11"/>
        <color rgb="FF0070C0"/>
        <rFont val="Calibri"/>
        <family val="2"/>
        <scheme val="minor"/>
      </rPr>
      <t xml:space="preserve"> prin realocare de la:
3.797.953 euro de la cod 139
7.777.047 euro de la cod 073</t>
    </r>
  </si>
  <si>
    <t>alocarea sumei de 12.750.000 euro pentru noul cod 081 prin realocari, astfel:
8.313.850 euro de la cod 082
425.000 euro de la cod 086
4.011.150 euro de la RES gospodarii, cod 048</t>
  </si>
  <si>
    <t>P9 total</t>
  </si>
  <si>
    <t>din care: locuinte sociale</t>
  </si>
  <si>
    <t xml:space="preserve">alocarea sumei totale de 17.976.247 euro, prin realocare de la cod 073 </t>
  </si>
  <si>
    <t>realocarea intregii alocari disponibile de la cod 073 catre noile coduri, astfel:
1.573.753 euro catre cod 127
17.976.247 euro catre cod 064</t>
  </si>
  <si>
    <t>Locuințe sociale/locuințe cu caracter social  individuale pentru persoanele cu dizabilități care părăsesc sistemul instituționalizat și sunt sprijinite să trăiască independent</t>
  </si>
  <si>
    <t>Renovarea energetică minoră, moderată sau aprofundată a clădirilor rezidențiale multifamiliale pentru comunități</t>
  </si>
  <si>
    <t>diminuarea cu 7.413.297 euro de la cod 139 catre noul cod 127</t>
  </si>
  <si>
    <t>S10 - Contribuții la Strategii de dezvoltare teritorială integrată care beneficiază de sprijin</t>
  </si>
  <si>
    <t>S10</t>
  </si>
  <si>
    <t>nr. de strategii</t>
  </si>
  <si>
    <t>nr. de persoane</t>
  </si>
  <si>
    <t xml:space="preserve">diminuarea alocarii codului 082 cu 8.763.500 euro si realocarea la noul cod 127 </t>
  </si>
  <si>
    <r>
      <t xml:space="preserve">alocarea sumei de 41.203.500 </t>
    </r>
    <r>
      <rPr>
        <b/>
        <sz val="11"/>
        <color rgb="FFFF0000"/>
        <rFont val="Calibri"/>
        <family val="2"/>
        <scheme val="minor"/>
      </rPr>
      <t>euro</t>
    </r>
    <r>
      <rPr>
        <sz val="11"/>
        <color rgb="FFFF0000"/>
        <rFont val="Calibri"/>
        <family val="2"/>
        <scheme val="minor"/>
      </rPr>
      <t>, prin realocari:
19.121.353 euro, de la  RES gosp (048),
7.413.297 euro de la cod 139, 
4.331.597 euro (valoarea nelansata din RES UAT - cod 047 si 052)
1.573.753 euro de la cod 073
8.763.500 euro de la cod 082</t>
    </r>
  </si>
  <si>
    <t>Costul include achizitia si renovarea, inclusiv accesibilizarea si dotarea locuintelor sociale/locuintelor cu caracter social individuale (valoarea s-a estimat pe un cost maxim unitar de 90.000 Euro/persoana, respectiv 1.800 euro/mp, calculat la o medie de 50 mp/persoana. Pretul per mp este sub pretul mediu de achizitie din T4 2025 conf.raport  Piata imobiliara rezidentiala – trim IV 2025 (imobiliare.ro) care este de 1.970 euro/mp</t>
  </si>
  <si>
    <t>Mod de calcul indicatori</t>
  </si>
  <si>
    <t>calculul indicatorilor s-a facut proportional cu alocarea revizuita</t>
  </si>
  <si>
    <t>calculul indicatorilor s-a facut proportional cu alocarea revizuita; in ceea ce priveste RCR18, indicatorul nu a fost modificat avand in vedere ca este cuprins in apelul de proiecte lansat</t>
  </si>
  <si>
    <t>Metodologie de calcul pentru renovare energetica:</t>
  </si>
  <si>
    <t>Numarul de intreprinderi s-a stabilit pornind de la o finantare medie de 125.000 euro/intreprindere nou creata</t>
  </si>
  <si>
    <t>Numarul de locuri de munca nou create s-a estimat la o medie de cel putin 1 loc/intreprindere nou creata</t>
  </si>
  <si>
    <t>valoarea este fundamentata pe baza devizului general al unui proiect similar</t>
  </si>
  <si>
    <t>S8 este indicator existent in programul intial, pentru care s-a mentinut valoarea</t>
  </si>
  <si>
    <t xml:space="preserve">S10 este indicator existent in programul initial (fostul S9), pentru care s-a mentinut valoarea
</t>
  </si>
  <si>
    <t>S9 este corespunzator Strategiei dezvoltate la nivelul ADTI Valea Jiului</t>
  </si>
  <si>
    <r>
      <t>In conformitate cu planul de activitati al investițiilor în clădiri publice cu destinație socio-culturală, corelat cu  capacitatea acestora, infrastructurilor propuse a fi se estimeaza infrastructuri cu o capacitate de aprox. 25.290, respectiv un numar de</t>
    </r>
    <r>
      <rPr>
        <b/>
        <sz val="11"/>
        <color theme="1"/>
        <rFont val="Calibri"/>
        <family val="2"/>
        <scheme val="minor"/>
      </rPr>
      <t xml:space="preserve"> </t>
    </r>
    <r>
      <rPr>
        <sz val="11"/>
        <color theme="1"/>
        <rFont val="Calibri"/>
        <family val="2"/>
        <scheme val="minor"/>
      </rPr>
      <t>aprox. 37.700 utilizatori anuali ai acestor infrastructuri</t>
    </r>
  </si>
  <si>
    <t xml:space="preserve">RCO60 se refera la UAT Galati
RCR62 s-a estimat de UAT Galati </t>
  </si>
  <si>
    <t xml:space="preserve">Numarul de intreprinderi si de locuri de munca  (cu un raport mediu de max. 2 locuri de munca /intreprindere nou creata) s-a stabilit pornind de la o finantare medie de 143.000 euro euro/intreprindere nou creata. Costul unitar determinat este mai mare decat cel de 125.000 euro pentru ca vizeaza un numar mai mare de locuri de munca </t>
  </si>
  <si>
    <t xml:space="preserve">Caculul indicatorului s-a făcut direct proporțional cu numărul reprezentanților societății civile din teritoriul VJ raportat la un număr de minim 20 participanți la evenimentele de capacitare * 10 evenimente </t>
  </si>
  <si>
    <t>Pt ECCO01 s-a estimat folosind raportul proiect de implicare a comunității/ număr de cetățeni participanți cu o bază de referință de minim 20 proiecte a minim 100 persoane / activitate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</si>
</sst>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_-* #,##0.00\ _l_e_i_-;\-* #,##0.00\ _l_e_i_-;_-* &quot;-&quot;??\ _l_e_i_-;_-@_-"/>
    <numFmt numFmtId="166" formatCode="_(* #,##0_);_(* \(#,##0\);_(* &quot;-&quot;??_);_(@_)"/>
    <numFmt numFmtId="167" formatCode="0.0000000000%"/>
    <numFmt numFmtId="168" formatCode="0.000000000000%"/>
    <numFmt numFmtId="169" formatCode="_-* #,##0.00\ _R_O_N_-;\-* #,##0.00\ _R_O_N_-;_-* &quot;-&quot;??\ _R_O_N_-;_-@_-"/>
    <numFmt numFmtId="170" formatCode="0.000000000000000000"/>
    <numFmt numFmtId="171" formatCode="d/m/yy;@"/>
  </numFmts>
  <fonts count="31" x14ac:knownFonts="1">
    <font>
      <sz val="11"/>
      <color theme="1"/>
      <name val="Calibri"/>
      <family val="2"/>
      <scheme val="minor"/>
    </font>
    <font>
      <sz val="11"/>
      <color theme="1"/>
      <name val="Calibri"/>
      <family val="2"/>
      <charset val="238"/>
      <scheme val="minor"/>
    </font>
    <font>
      <b/>
      <sz val="11"/>
      <color theme="1"/>
      <name val="Calibri"/>
      <family val="2"/>
      <scheme val="minor"/>
    </font>
    <font>
      <sz val="11"/>
      <color theme="1"/>
      <name val="Calibri"/>
      <family val="2"/>
      <scheme val="minor"/>
    </font>
    <font>
      <sz val="11"/>
      <color rgb="FFFF0000"/>
      <name val="Calibri"/>
      <family val="2"/>
      <scheme val="minor"/>
    </font>
    <font>
      <b/>
      <sz val="11"/>
      <color theme="0"/>
      <name val="Calibri"/>
      <family val="2"/>
      <scheme val="minor"/>
    </font>
    <font>
      <sz val="11"/>
      <name val="Calibri"/>
      <family val="2"/>
      <scheme val="minor"/>
    </font>
    <font>
      <sz val="10"/>
      <name val="Calibri"/>
      <family val="2"/>
      <scheme val="minor"/>
    </font>
    <font>
      <b/>
      <sz val="10"/>
      <color theme="0"/>
      <name val="Calibri"/>
      <family val="2"/>
      <scheme val="minor"/>
    </font>
    <font>
      <sz val="10"/>
      <color rgb="FFFF0000"/>
      <name val="Calibri"/>
      <family val="2"/>
      <scheme val="minor"/>
    </font>
    <font>
      <sz val="8"/>
      <name val="Calibri"/>
      <family val="2"/>
      <scheme val="minor"/>
    </font>
    <font>
      <sz val="11"/>
      <color theme="1"/>
      <name val="Calibri"/>
      <family val="2"/>
      <charset val="238"/>
      <scheme val="minor"/>
    </font>
    <font>
      <sz val="11"/>
      <color rgb="FF0070C0"/>
      <name val="Calibri"/>
      <family val="2"/>
      <scheme val="minor"/>
    </font>
    <font>
      <b/>
      <sz val="11"/>
      <name val="Calibri"/>
      <family val="2"/>
      <scheme val="minor"/>
    </font>
    <font>
      <b/>
      <sz val="11"/>
      <color rgb="FF0070C0"/>
      <name val="Calibri"/>
      <family val="2"/>
      <scheme val="minor"/>
    </font>
    <font>
      <sz val="10"/>
      <color rgb="FF000000"/>
      <name val="Calibri"/>
      <family val="2"/>
      <scheme val="minor"/>
    </font>
    <font>
      <sz val="10"/>
      <color theme="1"/>
      <name val="Calibri"/>
      <family val="2"/>
      <scheme val="minor"/>
    </font>
    <font>
      <i/>
      <sz val="10"/>
      <color rgb="FF000000"/>
      <name val="Calibri"/>
      <family val="2"/>
      <scheme val="minor"/>
    </font>
    <font>
      <sz val="11"/>
      <color theme="4" tint="-0.249977111117893"/>
      <name val="Calibri"/>
      <family val="2"/>
      <scheme val="minor"/>
    </font>
    <font>
      <i/>
      <sz val="11"/>
      <color theme="4" tint="-0.249977111117893"/>
      <name val="Calibri"/>
      <family val="2"/>
      <scheme val="minor"/>
    </font>
    <font>
      <b/>
      <i/>
      <sz val="11"/>
      <color theme="4" tint="-0.249977111117893"/>
      <name val="Calibri"/>
      <family val="2"/>
      <scheme val="minor"/>
    </font>
    <font>
      <i/>
      <sz val="11"/>
      <color theme="6"/>
      <name val="Calibri"/>
      <family val="2"/>
      <scheme val="minor"/>
    </font>
    <font>
      <i/>
      <sz val="11"/>
      <color theme="3"/>
      <name val="Calibri"/>
      <family val="2"/>
      <scheme val="minor"/>
    </font>
    <font>
      <sz val="12"/>
      <color rgb="FF000000"/>
      <name val="Times New Roman"/>
      <family val="1"/>
    </font>
    <font>
      <i/>
      <sz val="12"/>
      <color rgb="FF0070C0"/>
      <name val="Times New Roman"/>
      <family val="1"/>
    </font>
    <font>
      <i/>
      <sz val="11"/>
      <color rgb="FF0070C0"/>
      <name val="Calibri"/>
      <family val="2"/>
      <scheme val="minor"/>
    </font>
    <font>
      <sz val="11"/>
      <color theme="4"/>
      <name val="Calibri"/>
      <family val="2"/>
      <scheme val="minor"/>
    </font>
    <font>
      <b/>
      <sz val="10"/>
      <color rgb="FFEE0000"/>
      <name val="Aptos"/>
      <family val="2"/>
    </font>
    <font>
      <b/>
      <sz val="11"/>
      <color rgb="FFFF0000"/>
      <name val="Calibri"/>
      <family val="2"/>
      <scheme val="minor"/>
    </font>
    <font>
      <b/>
      <i/>
      <sz val="11"/>
      <color rgb="FF0070C0"/>
      <name val="Calibri"/>
      <family val="2"/>
      <scheme val="minor"/>
    </font>
    <font>
      <sz val="11"/>
      <color theme="1"/>
      <name val="Calibri"/>
      <family val="2"/>
    </font>
  </fonts>
  <fills count="3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rgb="FFFFC000"/>
        <bgColor indexed="64"/>
      </patternFill>
    </fill>
    <fill>
      <patternFill patternType="solid">
        <fgColor rgb="FF00B05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3"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rgb="FF92D050"/>
      </bottom>
      <diagonal/>
    </border>
    <border>
      <left/>
      <right style="thin">
        <color rgb="FF92D050"/>
      </right>
      <top/>
      <bottom/>
      <diagonal/>
    </border>
    <border>
      <left style="thin">
        <color rgb="FF92D050"/>
      </left>
      <right style="thin">
        <color rgb="FF92D050"/>
      </right>
      <top style="thin">
        <color rgb="FF92D050"/>
      </top>
      <bottom style="thin">
        <color rgb="FF92D05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8">
    <xf numFmtId="0" fontId="0" fillId="0" borderId="0"/>
    <xf numFmtId="9" fontId="3" fillId="0" borderId="0" applyFont="0" applyFill="0" applyBorder="0" applyAlignment="0" applyProtection="0"/>
    <xf numFmtId="43" fontId="3" fillId="0" borderId="0" applyFont="0" applyFill="0" applyBorder="0" applyAlignment="0" applyProtection="0"/>
    <xf numFmtId="0" fontId="11" fillId="0" borderId="0"/>
    <xf numFmtId="164" fontId="11" fillId="0" borderId="0" applyFont="0" applyFill="0" applyBorder="0" applyAlignment="0" applyProtection="0"/>
    <xf numFmtId="43" fontId="3" fillId="0" borderId="0" applyFont="0" applyFill="0" applyBorder="0" applyAlignment="0" applyProtection="0"/>
    <xf numFmtId="169" fontId="3" fillId="0" borderId="0" applyFont="0" applyFill="0" applyBorder="0" applyAlignment="0" applyProtection="0"/>
    <xf numFmtId="164" fontId="1" fillId="0" borderId="0" applyFont="0" applyFill="0" applyBorder="0" applyAlignment="0" applyProtection="0"/>
  </cellStyleXfs>
  <cellXfs count="594">
    <xf numFmtId="0" fontId="0" fillId="0" borderId="0" xfId="0"/>
    <xf numFmtId="0" fontId="6" fillId="3" borderId="0" xfId="0" applyFont="1" applyFill="1"/>
    <xf numFmtId="0" fontId="6" fillId="6" borderId="0" xfId="0" applyFont="1" applyFill="1"/>
    <xf numFmtId="0" fontId="6" fillId="3" borderId="2" xfId="0" applyFont="1" applyFill="1" applyBorder="1"/>
    <xf numFmtId="0" fontId="6" fillId="6" borderId="3" xfId="0" applyFont="1" applyFill="1" applyBorder="1"/>
    <xf numFmtId="0" fontId="5" fillId="3" borderId="4" xfId="0" applyFont="1" applyFill="1" applyBorder="1" applyAlignment="1">
      <alignment horizontal="center" wrapText="1"/>
    </xf>
    <xf numFmtId="0" fontId="7" fillId="6" borderId="0" xfId="0" applyFont="1" applyFill="1"/>
    <xf numFmtId="0" fontId="8" fillId="6" borderId="0" xfId="0" applyFont="1" applyFill="1" applyAlignment="1">
      <alignment horizontal="center" vertical="center" wrapText="1"/>
    </xf>
    <xf numFmtId="0" fontId="7" fillId="3" borderId="0" xfId="0" applyFont="1" applyFill="1"/>
    <xf numFmtId="0" fontId="7" fillId="3" borderId="2" xfId="0" applyFont="1" applyFill="1" applyBorder="1"/>
    <xf numFmtId="0" fontId="7" fillId="6" borderId="3" xfId="0" applyFont="1" applyFill="1" applyBorder="1"/>
    <xf numFmtId="0" fontId="7" fillId="3" borderId="4" xfId="0" applyFont="1" applyFill="1" applyBorder="1" applyAlignment="1">
      <alignment horizontal="left" vertical="top" wrapText="1"/>
    </xf>
    <xf numFmtId="0" fontId="8" fillId="3" borderId="4"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vertical="center" wrapText="1"/>
    </xf>
    <xf numFmtId="43" fontId="0" fillId="0" borderId="0" xfId="2" applyFont="1" applyAlignment="1">
      <alignment vertical="center" wrapText="1"/>
    </xf>
    <xf numFmtId="43" fontId="0" fillId="0" borderId="0" xfId="2" applyFont="1" applyFill="1" applyAlignment="1">
      <alignment vertical="center" wrapText="1"/>
    </xf>
    <xf numFmtId="43" fontId="0" fillId="11" borderId="0" xfId="2" applyFont="1" applyFill="1" applyAlignment="1">
      <alignment vertical="center" wrapText="1"/>
    </xf>
    <xf numFmtId="165" fontId="0" fillId="0" borderId="0" xfId="0" applyNumberFormat="1" applyAlignment="1">
      <alignment vertical="center" wrapText="1"/>
    </xf>
    <xf numFmtId="0" fontId="0" fillId="0" borderId="1" xfId="0" applyBorder="1" applyAlignment="1">
      <alignment horizontal="center" vertical="center" wrapText="1"/>
    </xf>
    <xf numFmtId="0" fontId="0" fillId="10" borderId="1" xfId="0" applyFill="1" applyBorder="1" applyAlignment="1">
      <alignment horizontal="center" vertical="center" wrapText="1"/>
    </xf>
    <xf numFmtId="0" fontId="0" fillId="0" borderId="1" xfId="0" applyBorder="1" applyAlignment="1">
      <alignment vertical="center" wrapText="1"/>
    </xf>
    <xf numFmtId="0" fontId="0" fillId="6" borderId="1" xfId="0" applyFill="1" applyBorder="1" applyAlignment="1">
      <alignment vertical="center" wrapText="1"/>
    </xf>
    <xf numFmtId="0" fontId="0" fillId="10" borderId="1" xfId="0" applyFill="1" applyBorder="1" applyAlignment="1">
      <alignment vertical="center" wrapText="1"/>
    </xf>
    <xf numFmtId="0" fontId="0" fillId="6" borderId="1" xfId="0" applyFill="1" applyBorder="1" applyAlignment="1">
      <alignment horizontal="center" vertical="center" wrapText="1"/>
    </xf>
    <xf numFmtId="43" fontId="0" fillId="0" borderId="1" xfId="2" applyFont="1" applyBorder="1" applyAlignment="1">
      <alignment vertical="center" wrapText="1"/>
    </xf>
    <xf numFmtId="0" fontId="2" fillId="6" borderId="1" xfId="0" applyFont="1" applyFill="1" applyBorder="1" applyAlignment="1">
      <alignment vertical="center" wrapText="1"/>
    </xf>
    <xf numFmtId="43" fontId="0" fillId="6" borderId="1" xfId="2" applyFont="1" applyFill="1" applyBorder="1" applyAlignment="1">
      <alignment vertical="center" wrapText="1"/>
    </xf>
    <xf numFmtId="165" fontId="0" fillId="0" borderId="1" xfId="0" applyNumberFormat="1" applyBorder="1" applyAlignment="1">
      <alignment vertical="center" wrapText="1"/>
    </xf>
    <xf numFmtId="43" fontId="0" fillId="10" borderId="1" xfId="2" applyFont="1" applyFill="1" applyBorder="1" applyAlignment="1">
      <alignment vertical="center" wrapText="1"/>
    </xf>
    <xf numFmtId="43" fontId="0" fillId="0" borderId="1" xfId="2" applyFont="1" applyFill="1" applyBorder="1" applyAlignment="1">
      <alignment vertical="center" wrapText="1"/>
    </xf>
    <xf numFmtId="0" fontId="2" fillId="0" borderId="1" xfId="0" applyFont="1" applyBorder="1" applyAlignment="1">
      <alignment vertical="center" wrapText="1"/>
    </xf>
    <xf numFmtId="0" fontId="0" fillId="11" borderId="0" xfId="0" applyFill="1" applyAlignment="1">
      <alignment vertical="center" wrapText="1"/>
    </xf>
    <xf numFmtId="166" fontId="4" fillId="10" borderId="1" xfId="2" applyNumberFormat="1" applyFont="1" applyFill="1" applyBorder="1" applyAlignment="1">
      <alignment vertical="center" wrapText="1"/>
    </xf>
    <xf numFmtId="0" fontId="2" fillId="0" borderId="1" xfId="0" applyFont="1" applyBorder="1" applyAlignment="1">
      <alignment horizontal="center" vertical="center" wrapText="1"/>
    </xf>
    <xf numFmtId="43" fontId="2" fillId="0" borderId="1" xfId="2" applyFont="1" applyBorder="1" applyAlignment="1">
      <alignment vertical="center" wrapText="1"/>
    </xf>
    <xf numFmtId="43" fontId="2" fillId="0" borderId="0" xfId="2" applyFont="1" applyAlignment="1">
      <alignment vertical="center" wrapText="1"/>
    </xf>
    <xf numFmtId="0" fontId="2" fillId="0" borderId="0" xfId="0" applyFont="1" applyAlignment="1">
      <alignment vertical="center" wrapText="1"/>
    </xf>
    <xf numFmtId="43" fontId="2" fillId="0" borderId="1" xfId="2" applyFont="1" applyBorder="1" applyAlignment="1">
      <alignment horizontal="center" vertical="center" wrapText="1"/>
    </xf>
    <xf numFmtId="43" fontId="2" fillId="10" borderId="1" xfId="2" applyFont="1" applyFill="1" applyBorder="1" applyAlignment="1">
      <alignment horizontal="center" vertical="center" wrapText="1"/>
    </xf>
    <xf numFmtId="0" fontId="2" fillId="10" borderId="1" xfId="0" applyFont="1" applyFill="1" applyBorder="1" applyAlignment="1">
      <alignment horizontal="center" vertical="center" wrapText="1"/>
    </xf>
    <xf numFmtId="43" fontId="2" fillId="0" borderId="0" xfId="2" applyFont="1" applyAlignment="1">
      <alignment horizontal="center" vertical="center" wrapText="1"/>
    </xf>
    <xf numFmtId="0" fontId="2" fillId="0" borderId="0" xfId="0" applyFont="1" applyAlignment="1">
      <alignment horizontal="center" vertical="center" wrapText="1"/>
    </xf>
    <xf numFmtId="43" fontId="0" fillId="0" borderId="0" xfId="2" applyFont="1" applyBorder="1" applyAlignment="1">
      <alignment vertical="center" wrapText="1"/>
    </xf>
    <xf numFmtId="43" fontId="4" fillId="0" borderId="0" xfId="2" applyFont="1" applyAlignment="1">
      <alignment vertical="center" wrapText="1"/>
    </xf>
    <xf numFmtId="166" fontId="0" fillId="0" borderId="1" xfId="2" applyNumberFormat="1" applyFont="1" applyBorder="1" applyAlignment="1">
      <alignment vertical="center" wrapText="1"/>
    </xf>
    <xf numFmtId="165" fontId="0" fillId="0" borderId="0" xfId="0" applyNumberFormat="1" applyAlignment="1">
      <alignment horizontal="center" vertical="center" wrapText="1"/>
    </xf>
    <xf numFmtId="168" fontId="0" fillId="0" borderId="0" xfId="1" applyNumberFormat="1" applyFont="1" applyAlignment="1">
      <alignment vertical="center" wrapText="1"/>
    </xf>
    <xf numFmtId="167" fontId="0" fillId="0" borderId="0" xfId="1" applyNumberFormat="1" applyFont="1" applyAlignment="1">
      <alignment vertical="center" wrapText="1"/>
    </xf>
    <xf numFmtId="4" fontId="2" fillId="0" borderId="1" xfId="0" applyNumberFormat="1" applyFont="1" applyBorder="1" applyAlignment="1">
      <alignment horizontal="center" vertical="center" wrapText="1"/>
    </xf>
    <xf numFmtId="4" fontId="2" fillId="10" borderId="1" xfId="0" applyNumberFormat="1" applyFont="1" applyFill="1" applyBorder="1" applyAlignment="1">
      <alignment horizontal="center" vertical="center" wrapText="1"/>
    </xf>
    <xf numFmtId="1" fontId="13" fillId="0" borderId="1" xfId="0" applyNumberFormat="1" applyFont="1" applyBorder="1" applyAlignment="1">
      <alignment horizontal="center" vertical="center" wrapText="1"/>
    </xf>
    <xf numFmtId="1" fontId="13" fillId="10" borderId="1" xfId="0" applyNumberFormat="1" applyFont="1" applyFill="1" applyBorder="1" applyAlignment="1">
      <alignment horizontal="center" vertical="center" wrapText="1"/>
    </xf>
    <xf numFmtId="43" fontId="14" fillId="0" borderId="1" xfId="2" applyFont="1" applyBorder="1" applyAlignment="1">
      <alignment vertical="center" wrapText="1"/>
    </xf>
    <xf numFmtId="0" fontId="0" fillId="6" borderId="1" xfId="0" applyFill="1" applyBorder="1" applyAlignment="1">
      <alignment horizontal="left" vertical="center" wrapText="1"/>
    </xf>
    <xf numFmtId="4" fontId="0" fillId="6" borderId="1" xfId="0" applyNumberFormat="1" applyFill="1" applyBorder="1" applyAlignment="1">
      <alignment vertical="center" wrapText="1"/>
    </xf>
    <xf numFmtId="0" fontId="0" fillId="0" borderId="1" xfId="0" applyBorder="1" applyAlignment="1">
      <alignment horizontal="left" vertical="center" wrapText="1"/>
    </xf>
    <xf numFmtId="4" fontId="0" fillId="0" borderId="1" xfId="0" applyNumberFormat="1" applyBorder="1" applyAlignment="1">
      <alignment vertical="center" wrapText="1"/>
    </xf>
    <xf numFmtId="0" fontId="6" fillId="6" borderId="1" xfId="0" applyFont="1" applyFill="1" applyBorder="1" applyAlignment="1">
      <alignment horizontal="left" vertical="center" wrapText="1"/>
    </xf>
    <xf numFmtId="4" fontId="6" fillId="6" borderId="1" xfId="0" applyNumberFormat="1" applyFont="1" applyFill="1" applyBorder="1" applyAlignment="1">
      <alignment vertical="center" wrapText="1"/>
    </xf>
    <xf numFmtId="0" fontId="6" fillId="6" borderId="1" xfId="0" applyFont="1" applyFill="1" applyBorder="1" applyAlignment="1">
      <alignment horizontal="center" vertical="center" wrapText="1"/>
    </xf>
    <xf numFmtId="39" fontId="3" fillId="0" borderId="1" xfId="2" applyNumberFormat="1" applyFont="1" applyFill="1" applyBorder="1" applyAlignment="1">
      <alignment vertical="center" wrapText="1"/>
    </xf>
    <xf numFmtId="43" fontId="3" fillId="0" borderId="1" xfId="2" applyFont="1" applyFill="1" applyBorder="1" applyAlignment="1">
      <alignment vertical="center" wrapText="1"/>
    </xf>
    <xf numFmtId="0" fontId="6" fillId="0" borderId="1" xfId="0" applyFont="1" applyBorder="1" applyAlignment="1">
      <alignment vertical="center" wrapText="1"/>
    </xf>
    <xf numFmtId="4" fontId="6" fillId="6" borderId="1" xfId="0" applyNumberFormat="1" applyFont="1" applyFill="1" applyBorder="1" applyAlignment="1">
      <alignment horizontal="center" vertical="center" wrapText="1"/>
    </xf>
    <xf numFmtId="0" fontId="3" fillId="0" borderId="1" xfId="0" applyFont="1" applyBorder="1" applyAlignment="1">
      <alignment vertical="center" wrapText="1"/>
    </xf>
    <xf numFmtId="43" fontId="0" fillId="2" borderId="1" xfId="2" applyFont="1" applyFill="1" applyBorder="1" applyAlignment="1">
      <alignment vertical="center" wrapText="1"/>
    </xf>
    <xf numFmtId="49" fontId="15" fillId="7" borderId="1" xfId="0" applyNumberFormat="1" applyFont="1" applyFill="1" applyBorder="1" applyAlignment="1">
      <alignment horizontal="left" vertical="center" wrapText="1"/>
    </xf>
    <xf numFmtId="0" fontId="15" fillId="7" borderId="1" xfId="0" applyFont="1" applyFill="1" applyBorder="1" applyAlignment="1">
      <alignment horizontal="left" vertical="center" wrapText="1"/>
    </xf>
    <xf numFmtId="0" fontId="15" fillId="7"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43" fontId="2" fillId="2" borderId="1" xfId="2" applyFont="1" applyFill="1" applyBorder="1" applyAlignment="1">
      <alignment vertical="center" wrapText="1"/>
    </xf>
    <xf numFmtId="0" fontId="0" fillId="2" borderId="1" xfId="0" applyFill="1" applyBorder="1" applyAlignment="1">
      <alignment vertical="center" wrapText="1"/>
    </xf>
    <xf numFmtId="0" fontId="0" fillId="2" borderId="1" xfId="0" applyFill="1" applyBorder="1" applyAlignment="1">
      <alignment horizontal="center" vertical="center" wrapText="1"/>
    </xf>
    <xf numFmtId="0" fontId="0" fillId="9" borderId="1" xfId="0" applyFill="1" applyBorder="1" applyAlignment="1">
      <alignment vertical="center" wrapText="1"/>
    </xf>
    <xf numFmtId="0" fontId="0" fillId="9" borderId="1" xfId="0" applyFill="1" applyBorder="1" applyAlignment="1">
      <alignment horizontal="center" vertical="center" wrapText="1"/>
    </xf>
    <xf numFmtId="43" fontId="0" fillId="9" borderId="1" xfId="2" applyFont="1" applyFill="1" applyBorder="1" applyAlignment="1">
      <alignment vertical="center" wrapText="1"/>
    </xf>
    <xf numFmtId="0" fontId="2" fillId="9" borderId="1" xfId="0" applyFont="1" applyFill="1" applyBorder="1" applyAlignment="1">
      <alignment vertical="center" wrapText="1"/>
    </xf>
    <xf numFmtId="0" fontId="2" fillId="9" borderId="1" xfId="0" applyFont="1" applyFill="1" applyBorder="1" applyAlignment="1">
      <alignment horizontal="center" vertical="center" wrapText="1"/>
    </xf>
    <xf numFmtId="43" fontId="2" fillId="9" borderId="1" xfId="2" applyFont="1" applyFill="1" applyBorder="1" applyAlignment="1">
      <alignment vertical="center" wrapText="1"/>
    </xf>
    <xf numFmtId="0" fontId="0" fillId="4" borderId="1" xfId="0" applyFill="1" applyBorder="1" applyAlignment="1">
      <alignment vertical="center" wrapText="1"/>
    </xf>
    <xf numFmtId="0" fontId="0" fillId="4" borderId="1" xfId="0" applyFill="1" applyBorder="1" applyAlignment="1">
      <alignment horizontal="center" vertical="center" wrapText="1"/>
    </xf>
    <xf numFmtId="43" fontId="0" fillId="4" borderId="1" xfId="2" applyFont="1" applyFill="1" applyBorder="1" applyAlignment="1">
      <alignment vertical="center" wrapText="1"/>
    </xf>
    <xf numFmtId="0" fontId="2" fillId="10" borderId="1" xfId="0" applyFont="1" applyFill="1" applyBorder="1" applyAlignment="1">
      <alignment vertical="center" wrapText="1"/>
    </xf>
    <xf numFmtId="43" fontId="2" fillId="10" borderId="1" xfId="2" applyFont="1" applyFill="1" applyBorder="1" applyAlignment="1">
      <alignment vertical="center" wrapText="1"/>
    </xf>
    <xf numFmtId="0" fontId="2" fillId="8" borderId="1" xfId="0" applyFont="1" applyFill="1" applyBorder="1" applyAlignment="1">
      <alignment vertical="center" wrapText="1"/>
    </xf>
    <xf numFmtId="0" fontId="2" fillId="8" borderId="1" xfId="0" applyFont="1" applyFill="1" applyBorder="1" applyAlignment="1">
      <alignment horizontal="center" vertical="center" wrapText="1"/>
    </xf>
    <xf numFmtId="43" fontId="2" fillId="8" borderId="1" xfId="2" applyFont="1" applyFill="1" applyBorder="1" applyAlignment="1">
      <alignment vertical="center" wrapText="1"/>
    </xf>
    <xf numFmtId="0" fontId="0" fillId="8" borderId="1" xfId="0" applyFill="1" applyBorder="1" applyAlignment="1">
      <alignment vertical="center" wrapText="1"/>
    </xf>
    <xf numFmtId="0" fontId="0" fillId="8" borderId="1" xfId="0" applyFill="1" applyBorder="1" applyAlignment="1">
      <alignment horizontal="center" vertical="center" wrapText="1"/>
    </xf>
    <xf numFmtId="43" fontId="0" fillId="8" borderId="1" xfId="2" applyFont="1" applyFill="1" applyBorder="1" applyAlignment="1">
      <alignment vertical="center" wrapText="1"/>
    </xf>
    <xf numFmtId="0" fontId="0" fillId="5" borderId="1" xfId="0" applyFill="1" applyBorder="1" applyAlignment="1">
      <alignment vertical="center" wrapText="1"/>
    </xf>
    <xf numFmtId="0" fontId="0" fillId="5" borderId="1" xfId="0" applyFill="1" applyBorder="1" applyAlignment="1">
      <alignment horizontal="center" vertical="center" wrapText="1"/>
    </xf>
    <xf numFmtId="43" fontId="3" fillId="5" borderId="1" xfId="2" applyFont="1" applyFill="1" applyBorder="1" applyAlignment="1">
      <alignment vertical="center" wrapText="1"/>
    </xf>
    <xf numFmtId="43" fontId="0" fillId="5" borderId="1" xfId="2" applyFont="1" applyFill="1" applyBorder="1" applyAlignment="1">
      <alignment vertical="center" wrapText="1"/>
    </xf>
    <xf numFmtId="0" fontId="16" fillId="0" borderId="0" xfId="0" applyFont="1" applyAlignment="1">
      <alignment vertical="center" wrapText="1"/>
    </xf>
    <xf numFmtId="0" fontId="16" fillId="0" borderId="1" xfId="0" applyFont="1" applyBorder="1" applyAlignment="1">
      <alignment vertical="center" wrapText="1"/>
    </xf>
    <xf numFmtId="49" fontId="16" fillId="0" borderId="0" xfId="0" applyNumberFormat="1" applyFont="1" applyAlignment="1">
      <alignment vertical="center" wrapText="1"/>
    </xf>
    <xf numFmtId="0" fontId="16" fillId="0" borderId="0" xfId="0" applyFont="1" applyAlignment="1">
      <alignment horizontal="center" vertical="center" wrapText="1"/>
    </xf>
    <xf numFmtId="166" fontId="4" fillId="10" borderId="1" xfId="2" applyNumberFormat="1" applyFont="1" applyFill="1" applyBorder="1" applyAlignment="1">
      <alignment horizontal="right" vertical="center" wrapText="1"/>
    </xf>
    <xf numFmtId="4" fontId="3" fillId="0" borderId="1" xfId="2" applyNumberFormat="1" applyFont="1" applyFill="1" applyBorder="1" applyAlignment="1">
      <alignment vertical="center" wrapText="1"/>
    </xf>
    <xf numFmtId="43" fontId="12" fillId="0" borderId="1" xfId="2" applyFont="1" applyBorder="1" applyAlignment="1">
      <alignment vertical="center" wrapText="1"/>
    </xf>
    <xf numFmtId="0" fontId="18" fillId="0" borderId="1" xfId="0" applyFont="1" applyBorder="1" applyAlignment="1">
      <alignment horizontal="center" vertical="center" wrapText="1"/>
    </xf>
    <xf numFmtId="165" fontId="19" fillId="6" borderId="1" xfId="0" applyNumberFormat="1" applyFont="1" applyFill="1" applyBorder="1" applyAlignment="1">
      <alignment vertical="center" wrapText="1"/>
    </xf>
    <xf numFmtId="43" fontId="19" fillId="0" borderId="1" xfId="2" applyFont="1" applyBorder="1" applyAlignment="1">
      <alignment horizontal="center" vertical="center" wrapText="1"/>
    </xf>
    <xf numFmtId="0" fontId="19" fillId="0" borderId="1" xfId="0" applyFont="1" applyBorder="1" applyAlignment="1">
      <alignment horizontal="center" vertical="center" wrapText="1"/>
    </xf>
    <xf numFmtId="165" fontId="19" fillId="6" borderId="1" xfId="0" applyNumberFormat="1" applyFont="1" applyFill="1" applyBorder="1" applyAlignment="1">
      <alignment horizontal="center" vertical="center" wrapText="1"/>
    </xf>
    <xf numFmtId="0" fontId="19" fillId="0" borderId="1" xfId="0" applyFont="1" applyBorder="1" applyAlignment="1">
      <alignment vertical="center" wrapText="1"/>
    </xf>
    <xf numFmtId="43" fontId="19" fillId="0" borderId="1" xfId="2" applyFont="1" applyBorder="1" applyAlignment="1">
      <alignment vertical="center" wrapText="1"/>
    </xf>
    <xf numFmtId="43" fontId="20" fillId="0" borderId="1" xfId="0" applyNumberFormat="1" applyFont="1" applyBorder="1" applyAlignment="1">
      <alignment vertical="center" wrapText="1"/>
    </xf>
    <xf numFmtId="166" fontId="0" fillId="10" borderId="1" xfId="2" applyNumberFormat="1" applyFont="1" applyFill="1" applyBorder="1" applyAlignment="1">
      <alignment vertical="center" wrapText="1"/>
    </xf>
    <xf numFmtId="165" fontId="22" fillId="6" borderId="1" xfId="0" applyNumberFormat="1" applyFont="1" applyFill="1" applyBorder="1" applyAlignment="1">
      <alignment vertical="center" wrapText="1"/>
    </xf>
    <xf numFmtId="43" fontId="20" fillId="0" borderId="0" xfId="2" applyFont="1" applyBorder="1" applyAlignment="1">
      <alignment horizontal="center" vertical="center" wrapText="1"/>
    </xf>
    <xf numFmtId="43" fontId="20" fillId="6" borderId="1" xfId="2" applyFont="1" applyFill="1" applyBorder="1" applyAlignment="1">
      <alignment vertical="center" wrapText="1"/>
    </xf>
    <xf numFmtId="165" fontId="20" fillId="6" borderId="1" xfId="0" applyNumberFormat="1" applyFont="1" applyFill="1" applyBorder="1" applyAlignment="1">
      <alignment vertical="center" wrapText="1"/>
    </xf>
    <xf numFmtId="0" fontId="2" fillId="0" borderId="0" xfId="0" applyFont="1" applyAlignment="1">
      <alignment horizontal="right" vertical="center" wrapText="1"/>
    </xf>
    <xf numFmtId="43" fontId="20" fillId="0" borderId="0" xfId="2" applyFont="1" applyBorder="1" applyAlignment="1">
      <alignment horizontal="right" vertical="center" wrapText="1"/>
    </xf>
    <xf numFmtId="0" fontId="0" fillId="0" borderId="0" xfId="0" applyAlignment="1">
      <alignment horizontal="right" vertical="center" wrapText="1"/>
    </xf>
    <xf numFmtId="43" fontId="19" fillId="0" borderId="0" xfId="2" applyFont="1" applyBorder="1" applyAlignment="1">
      <alignment horizontal="right" vertical="center" wrapText="1"/>
    </xf>
    <xf numFmtId="165" fontId="21" fillId="0" borderId="0" xfId="0" applyNumberFormat="1" applyFont="1" applyAlignment="1">
      <alignment horizontal="right" vertical="center" wrapText="1"/>
    </xf>
    <xf numFmtId="165" fontId="0" fillId="0" borderId="0" xfId="0" applyNumberFormat="1" applyAlignment="1">
      <alignment horizontal="right" vertical="center" wrapText="1"/>
    </xf>
    <xf numFmtId="166" fontId="0" fillId="0" borderId="1" xfId="2" applyNumberFormat="1" applyFont="1" applyFill="1" applyBorder="1" applyAlignment="1">
      <alignment vertical="center" wrapText="1"/>
    </xf>
    <xf numFmtId="166" fontId="0" fillId="6" borderId="1" xfId="2" applyNumberFormat="1" applyFont="1" applyFill="1" applyBorder="1" applyAlignment="1">
      <alignment vertical="center" wrapText="1"/>
    </xf>
    <xf numFmtId="3" fontId="0" fillId="0" borderId="1" xfId="2" applyNumberFormat="1" applyFont="1" applyBorder="1" applyAlignment="1">
      <alignment vertical="center" wrapText="1"/>
    </xf>
    <xf numFmtId="3" fontId="0" fillId="10" borderId="1" xfId="2" applyNumberFormat="1" applyFont="1" applyFill="1" applyBorder="1" applyAlignment="1">
      <alignment vertical="center" wrapText="1"/>
    </xf>
    <xf numFmtId="3" fontId="4" fillId="10" borderId="1" xfId="2" applyNumberFormat="1" applyFont="1" applyFill="1" applyBorder="1" applyAlignment="1">
      <alignment vertical="center" wrapText="1"/>
    </xf>
    <xf numFmtId="3" fontId="2" fillId="0" borderId="1" xfId="0" applyNumberFormat="1" applyFont="1" applyBorder="1" applyAlignment="1">
      <alignment vertical="center" wrapText="1"/>
    </xf>
    <xf numFmtId="3" fontId="0" fillId="6" borderId="1" xfId="0" applyNumberFormat="1" applyFill="1" applyBorder="1" applyAlignment="1">
      <alignment vertical="center" wrapText="1"/>
    </xf>
    <xf numFmtId="3" fontId="0" fillId="0" borderId="1" xfId="0" applyNumberFormat="1" applyBorder="1" applyAlignment="1">
      <alignment vertical="center" wrapText="1"/>
    </xf>
    <xf numFmtId="3" fontId="0" fillId="10" borderId="1" xfId="0" applyNumberFormat="1" applyFill="1" applyBorder="1" applyAlignment="1">
      <alignment vertical="center" wrapText="1"/>
    </xf>
    <xf numFmtId="3" fontId="4" fillId="10" borderId="1" xfId="0" applyNumberFormat="1" applyFont="1" applyFill="1" applyBorder="1" applyAlignment="1">
      <alignment vertical="center" wrapText="1"/>
    </xf>
    <xf numFmtId="3" fontId="0" fillId="0" borderId="0" xfId="0" applyNumberFormat="1" applyAlignment="1">
      <alignment vertical="center" wrapText="1"/>
    </xf>
    <xf numFmtId="3" fontId="2" fillId="0" borderId="1" xfId="0" applyNumberFormat="1" applyFont="1" applyBorder="1" applyAlignment="1">
      <alignment horizontal="center" vertical="center" wrapText="1"/>
    </xf>
    <xf numFmtId="3" fontId="0" fillId="6" borderId="1" xfId="0" applyNumberFormat="1" applyFill="1" applyBorder="1" applyAlignment="1">
      <alignment horizontal="center" vertical="center" wrapText="1"/>
    </xf>
    <xf numFmtId="3" fontId="0" fillId="0" borderId="1" xfId="0" applyNumberFormat="1" applyBorder="1" applyAlignment="1">
      <alignment horizontal="center" vertical="center" wrapText="1"/>
    </xf>
    <xf numFmtId="3" fontId="2" fillId="0" borderId="1" xfId="0" applyNumberFormat="1" applyFont="1" applyBorder="1" applyAlignment="1">
      <alignment horizontal="right" vertical="center" wrapText="1"/>
    </xf>
    <xf numFmtId="3" fontId="0" fillId="6" borderId="1" xfId="0" applyNumberFormat="1" applyFill="1" applyBorder="1" applyAlignment="1">
      <alignment horizontal="right" vertical="center" wrapText="1"/>
    </xf>
    <xf numFmtId="3" fontId="0" fillId="0" borderId="1" xfId="0" applyNumberFormat="1" applyBorder="1" applyAlignment="1">
      <alignment horizontal="right" vertical="center" wrapText="1"/>
    </xf>
    <xf numFmtId="3" fontId="0" fillId="10" borderId="1" xfId="0" applyNumberFormat="1" applyFill="1" applyBorder="1" applyAlignment="1">
      <alignment horizontal="right" vertical="center" wrapText="1"/>
    </xf>
    <xf numFmtId="3" fontId="4" fillId="10" borderId="1" xfId="0" applyNumberFormat="1" applyFont="1" applyFill="1" applyBorder="1" applyAlignment="1">
      <alignment horizontal="right" vertical="center" wrapText="1"/>
    </xf>
    <xf numFmtId="3" fontId="4" fillId="10" borderId="1" xfId="2" applyNumberFormat="1" applyFont="1" applyFill="1" applyBorder="1" applyAlignment="1">
      <alignment horizontal="right" vertical="center" wrapText="1"/>
    </xf>
    <xf numFmtId="3" fontId="0" fillId="0" borderId="1" xfId="2" applyNumberFormat="1" applyFont="1" applyBorder="1" applyAlignment="1">
      <alignment horizontal="right" vertical="center" wrapText="1"/>
    </xf>
    <xf numFmtId="3" fontId="0" fillId="10" borderId="1" xfId="2" applyNumberFormat="1" applyFont="1" applyFill="1" applyBorder="1" applyAlignment="1">
      <alignment horizontal="right" vertical="center" wrapText="1"/>
    </xf>
    <xf numFmtId="3" fontId="0" fillId="0" borderId="0" xfId="0" applyNumberFormat="1" applyAlignment="1">
      <alignment horizontal="right" vertical="center" wrapText="1"/>
    </xf>
    <xf numFmtId="3" fontId="6" fillId="10" borderId="1" xfId="0" applyNumberFormat="1" applyFont="1" applyFill="1" applyBorder="1" applyAlignment="1">
      <alignment horizontal="right" vertical="center" wrapText="1"/>
    </xf>
    <xf numFmtId="0" fontId="0" fillId="10" borderId="1" xfId="0" applyFill="1" applyBorder="1" applyAlignment="1">
      <alignment horizontal="left" vertical="center" wrapText="1"/>
    </xf>
    <xf numFmtId="0" fontId="0" fillId="0" borderId="0" xfId="0" applyAlignment="1">
      <alignment horizontal="left" vertical="center" wrapText="1"/>
    </xf>
    <xf numFmtId="0" fontId="2" fillId="0" borderId="1" xfId="0" applyFont="1" applyBorder="1" applyAlignment="1">
      <alignment horizontal="left" vertical="center" wrapText="1"/>
    </xf>
    <xf numFmtId="0" fontId="0" fillId="12" borderId="1" xfId="0" applyFill="1" applyBorder="1" applyAlignment="1">
      <alignment vertical="center" wrapText="1"/>
    </xf>
    <xf numFmtId="43" fontId="0" fillId="12" borderId="1" xfId="2" applyFont="1" applyFill="1" applyBorder="1" applyAlignment="1">
      <alignment vertical="center" wrapText="1"/>
    </xf>
    <xf numFmtId="0" fontId="0" fillId="12" borderId="1" xfId="0" applyFill="1" applyBorder="1" applyAlignment="1">
      <alignment horizontal="left" vertical="center" wrapText="1"/>
    </xf>
    <xf numFmtId="0" fontId="6" fillId="12" borderId="1" xfId="0" applyFont="1" applyFill="1" applyBorder="1" applyAlignment="1">
      <alignment vertical="center" wrapText="1"/>
    </xf>
    <xf numFmtId="0" fontId="0" fillId="13" borderId="1" xfId="0" applyFill="1" applyBorder="1" applyAlignment="1">
      <alignment vertical="center" wrapText="1"/>
    </xf>
    <xf numFmtId="43" fontId="0" fillId="13" borderId="1" xfId="2" applyFont="1" applyFill="1" applyBorder="1" applyAlignment="1">
      <alignment vertical="center" wrapText="1"/>
    </xf>
    <xf numFmtId="0" fontId="0" fillId="13" borderId="1" xfId="0" applyFill="1" applyBorder="1" applyAlignment="1">
      <alignment horizontal="left" vertical="center" wrapText="1"/>
    </xf>
    <xf numFmtId="0" fontId="0" fillId="14" borderId="1" xfId="0" applyFill="1" applyBorder="1" applyAlignment="1">
      <alignment horizontal="left" vertical="center" wrapText="1"/>
    </xf>
    <xf numFmtId="0" fontId="0" fillId="15" borderId="1" xfId="0" applyFill="1" applyBorder="1" applyAlignment="1">
      <alignment vertical="center" wrapText="1"/>
    </xf>
    <xf numFmtId="43" fontId="0" fillId="15" borderId="1" xfId="2" applyFont="1" applyFill="1" applyBorder="1" applyAlignment="1">
      <alignment vertical="center" wrapText="1"/>
    </xf>
    <xf numFmtId="0" fontId="0" fillId="15" borderId="1" xfId="0" applyFill="1" applyBorder="1" applyAlignment="1">
      <alignment horizontal="left" vertical="center" wrapText="1"/>
    </xf>
    <xf numFmtId="0" fontId="0" fillId="16" borderId="1" xfId="0" applyFill="1" applyBorder="1" applyAlignment="1">
      <alignment vertical="center" wrapText="1"/>
    </xf>
    <xf numFmtId="43" fontId="0" fillId="16" borderId="1" xfId="2" applyFont="1" applyFill="1" applyBorder="1" applyAlignment="1">
      <alignment vertical="center" wrapText="1"/>
    </xf>
    <xf numFmtId="0" fontId="0" fillId="16" borderId="1" xfId="0" applyFill="1" applyBorder="1" applyAlignment="1">
      <alignment horizontal="left" vertical="center" wrapText="1"/>
    </xf>
    <xf numFmtId="0" fontId="0" fillId="5" borderId="1" xfId="0" applyFill="1" applyBorder="1" applyAlignment="1">
      <alignment horizontal="left" vertical="center" wrapText="1"/>
    </xf>
    <xf numFmtId="0" fontId="0" fillId="17" borderId="1" xfId="0" applyFill="1" applyBorder="1" applyAlignment="1">
      <alignment vertical="center" wrapText="1"/>
    </xf>
    <xf numFmtId="43" fontId="0" fillId="17" borderId="1" xfId="2" applyFont="1" applyFill="1" applyBorder="1" applyAlignment="1">
      <alignment vertical="center" wrapText="1"/>
    </xf>
    <xf numFmtId="0" fontId="0" fillId="17" borderId="1" xfId="0" applyFill="1" applyBorder="1" applyAlignment="1">
      <alignment horizontal="left" vertical="center" wrapText="1"/>
    </xf>
    <xf numFmtId="43" fontId="0" fillId="0" borderId="1" xfId="2" applyFont="1" applyBorder="1" applyAlignment="1">
      <alignment horizontal="right" vertical="center" wrapText="1"/>
    </xf>
    <xf numFmtId="43" fontId="0" fillId="10" borderId="1" xfId="2" applyFont="1" applyFill="1" applyBorder="1" applyAlignment="1">
      <alignment horizontal="right" vertical="center" wrapText="1"/>
    </xf>
    <xf numFmtId="43" fontId="4" fillId="10" borderId="1" xfId="2" applyFont="1" applyFill="1" applyBorder="1" applyAlignment="1">
      <alignment horizontal="right" vertical="center" wrapText="1"/>
    </xf>
    <xf numFmtId="43" fontId="0" fillId="0" borderId="1" xfId="2" applyFont="1" applyFill="1" applyBorder="1" applyAlignment="1">
      <alignment horizontal="right" vertical="center" wrapText="1"/>
    </xf>
    <xf numFmtId="43" fontId="0" fillId="6" borderId="1" xfId="2" applyFont="1" applyFill="1" applyBorder="1" applyAlignment="1">
      <alignment horizontal="right" vertical="center" wrapText="1"/>
    </xf>
    <xf numFmtId="43" fontId="4" fillId="6" borderId="1" xfId="2" applyFont="1" applyFill="1" applyBorder="1" applyAlignment="1">
      <alignment horizontal="right" vertical="center" wrapText="1"/>
    </xf>
    <xf numFmtId="43" fontId="2" fillId="0" borderId="1" xfId="2" applyFont="1" applyBorder="1" applyAlignment="1">
      <alignment horizontal="right" vertical="center" wrapText="1"/>
    </xf>
    <xf numFmtId="4" fontId="0" fillId="0" borderId="1" xfId="2" applyNumberFormat="1" applyFont="1" applyBorder="1" applyAlignment="1">
      <alignment horizontal="right" vertical="center" wrapText="1"/>
    </xf>
    <xf numFmtId="4" fontId="0" fillId="6" borderId="1" xfId="2" applyNumberFormat="1" applyFont="1" applyFill="1" applyBorder="1" applyAlignment="1">
      <alignment horizontal="right" vertical="center" wrapText="1"/>
    </xf>
    <xf numFmtId="0" fontId="0" fillId="18" borderId="1" xfId="0" applyFill="1" applyBorder="1" applyAlignment="1">
      <alignment vertical="center" wrapText="1"/>
    </xf>
    <xf numFmtId="43" fontId="0" fillId="18" borderId="1" xfId="2" applyFont="1" applyFill="1" applyBorder="1" applyAlignment="1">
      <alignment vertical="center" wrapText="1"/>
    </xf>
    <xf numFmtId="0" fontId="0" fillId="19" borderId="1" xfId="0" applyFill="1" applyBorder="1" applyAlignment="1">
      <alignment vertical="center" wrapText="1"/>
    </xf>
    <xf numFmtId="43" fontId="0" fillId="19" borderId="1" xfId="2" applyFont="1" applyFill="1" applyBorder="1" applyAlignment="1">
      <alignment vertical="center" wrapText="1"/>
    </xf>
    <xf numFmtId="0" fontId="0" fillId="19" borderId="1" xfId="0" applyFill="1" applyBorder="1" applyAlignment="1">
      <alignment horizontal="left" vertical="center" wrapText="1"/>
    </xf>
    <xf numFmtId="0" fontId="0" fillId="20" borderId="1" xfId="0" applyFill="1" applyBorder="1" applyAlignment="1">
      <alignment horizontal="left" vertical="center" wrapText="1"/>
    </xf>
    <xf numFmtId="0" fontId="0" fillId="20" borderId="1" xfId="0" applyFill="1" applyBorder="1" applyAlignment="1">
      <alignment vertical="center" wrapText="1"/>
    </xf>
    <xf numFmtId="0" fontId="0" fillId="11" borderId="1" xfId="0" applyFill="1" applyBorder="1" applyAlignment="1">
      <alignment vertical="center" wrapText="1"/>
    </xf>
    <xf numFmtId="0" fontId="0" fillId="11" borderId="1" xfId="0" applyFill="1" applyBorder="1" applyAlignment="1">
      <alignment horizontal="left" vertical="center" wrapText="1"/>
    </xf>
    <xf numFmtId="0" fontId="0" fillId="21" borderId="1" xfId="0" applyFill="1" applyBorder="1" applyAlignment="1">
      <alignment vertical="center" wrapText="1"/>
    </xf>
    <xf numFmtId="43" fontId="0" fillId="21" borderId="1" xfId="2" applyFont="1" applyFill="1" applyBorder="1" applyAlignment="1">
      <alignment vertical="center" wrapText="1"/>
    </xf>
    <xf numFmtId="0" fontId="0" fillId="21" borderId="1" xfId="0" applyFill="1" applyBorder="1" applyAlignment="1">
      <alignment horizontal="left" vertical="center" wrapText="1"/>
    </xf>
    <xf numFmtId="4" fontId="0" fillId="10" borderId="1" xfId="2" applyNumberFormat="1" applyFont="1" applyFill="1" applyBorder="1" applyAlignment="1">
      <alignment horizontal="right" vertical="center" wrapText="1"/>
    </xf>
    <xf numFmtId="43" fontId="6" fillId="10" borderId="1" xfId="2" applyFont="1" applyFill="1" applyBorder="1" applyAlignment="1">
      <alignment horizontal="right" vertical="center" wrapText="1"/>
    </xf>
    <xf numFmtId="4" fontId="0" fillId="0" borderId="1" xfId="2" applyNumberFormat="1" applyFont="1" applyFill="1" applyBorder="1" applyAlignment="1">
      <alignment horizontal="right" vertical="center" wrapText="1"/>
    </xf>
    <xf numFmtId="49" fontId="15" fillId="8" borderId="1" xfId="0" applyNumberFormat="1" applyFont="1" applyFill="1" applyBorder="1" applyAlignment="1">
      <alignment horizontal="left" vertical="center" wrapText="1"/>
    </xf>
    <xf numFmtId="0" fontId="15" fillId="8" borderId="1" xfId="0" applyFont="1" applyFill="1" applyBorder="1" applyAlignment="1">
      <alignment horizontal="left" vertical="center" wrapText="1"/>
    </xf>
    <xf numFmtId="0" fontId="15" fillId="8" borderId="1" xfId="0" applyFont="1" applyFill="1" applyBorder="1" applyAlignment="1">
      <alignment horizontal="center" vertical="center" wrapText="1"/>
    </xf>
    <xf numFmtId="0" fontId="16" fillId="8" borderId="1" xfId="0" applyFont="1" applyFill="1" applyBorder="1" applyAlignment="1">
      <alignment vertical="center" wrapText="1"/>
    </xf>
    <xf numFmtId="49" fontId="15" fillId="21" borderId="1" xfId="0" applyNumberFormat="1" applyFont="1" applyFill="1" applyBorder="1" applyAlignment="1">
      <alignment horizontal="left" vertical="center" wrapText="1"/>
    </xf>
    <xf numFmtId="0" fontId="15" fillId="21" borderId="1" xfId="0" applyFont="1" applyFill="1" applyBorder="1" applyAlignment="1">
      <alignment horizontal="left" vertical="center" wrapText="1"/>
    </xf>
    <xf numFmtId="0" fontId="15" fillId="21" borderId="1" xfId="0" applyFont="1" applyFill="1" applyBorder="1" applyAlignment="1">
      <alignment horizontal="center" vertical="center" wrapText="1"/>
    </xf>
    <xf numFmtId="0" fontId="2" fillId="21" borderId="1" xfId="0" applyFont="1" applyFill="1" applyBorder="1" applyAlignment="1">
      <alignment horizontal="center" vertical="center" wrapText="1"/>
    </xf>
    <xf numFmtId="0" fontId="0" fillId="21" borderId="1" xfId="0" applyFill="1" applyBorder="1" applyAlignment="1">
      <alignment horizontal="center" vertical="center" wrapText="1"/>
    </xf>
    <xf numFmtId="49" fontId="16" fillId="9" borderId="1" xfId="0" applyNumberFormat="1" applyFont="1" applyFill="1" applyBorder="1" applyAlignment="1">
      <alignment vertical="center" wrapText="1"/>
    </xf>
    <xf numFmtId="0" fontId="16" fillId="9" borderId="1" xfId="0" applyFont="1" applyFill="1" applyBorder="1" applyAlignment="1">
      <alignment vertical="center" wrapText="1"/>
    </xf>
    <xf numFmtId="9" fontId="15" fillId="9" borderId="1" xfId="1" applyFont="1" applyFill="1" applyBorder="1" applyAlignment="1">
      <alignment horizontal="center" vertical="center" wrapText="1"/>
    </xf>
    <xf numFmtId="49" fontId="16" fillId="9" borderId="1" xfId="0" applyNumberFormat="1" applyFont="1" applyFill="1" applyBorder="1" applyAlignment="1">
      <alignment horizontal="center" vertical="center" wrapText="1"/>
    </xf>
    <xf numFmtId="49" fontId="15" fillId="5" borderId="1" xfId="0" applyNumberFormat="1" applyFont="1" applyFill="1" applyBorder="1" applyAlignment="1">
      <alignment horizontal="left" vertical="center" wrapText="1"/>
    </xf>
    <xf numFmtId="0" fontId="15"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6" fillId="5" borderId="1" xfId="0" applyFont="1" applyFill="1" applyBorder="1" applyAlignment="1">
      <alignment vertical="center" wrapText="1"/>
    </xf>
    <xf numFmtId="0" fontId="2" fillId="5" borderId="1" xfId="0" applyFont="1" applyFill="1" applyBorder="1" applyAlignment="1">
      <alignment horizontal="center" vertical="center" wrapText="1"/>
    </xf>
    <xf numFmtId="49" fontId="0" fillId="5" borderId="1" xfId="0" applyNumberFormat="1" applyFill="1" applyBorder="1" applyAlignment="1">
      <alignment horizontal="center" vertical="center" wrapText="1"/>
    </xf>
    <xf numFmtId="0" fontId="0" fillId="4" borderId="1" xfId="0" applyFill="1" applyBorder="1" applyAlignment="1">
      <alignment horizontal="left" vertical="center" wrapText="1"/>
    </xf>
    <xf numFmtId="0" fontId="6" fillId="4" borderId="1" xfId="0" applyFont="1" applyFill="1" applyBorder="1" applyAlignment="1">
      <alignment vertical="center" wrapText="1"/>
    </xf>
    <xf numFmtId="0" fontId="0" fillId="8" borderId="1" xfId="0" applyFill="1" applyBorder="1" applyAlignment="1">
      <alignment horizontal="left" vertical="center" wrapText="1"/>
    </xf>
    <xf numFmtId="0" fontId="0" fillId="22" borderId="1" xfId="0" applyFill="1" applyBorder="1" applyAlignment="1">
      <alignment vertical="center" wrapText="1"/>
    </xf>
    <xf numFmtId="43" fontId="0" fillId="22" borderId="1" xfId="2" applyFont="1" applyFill="1" applyBorder="1" applyAlignment="1">
      <alignment vertical="center" wrapText="1"/>
    </xf>
    <xf numFmtId="0" fontId="0" fillId="22" borderId="1" xfId="0" applyFill="1" applyBorder="1" applyAlignment="1">
      <alignment horizontal="left" vertical="center" wrapText="1"/>
    </xf>
    <xf numFmtId="0" fontId="0" fillId="23" borderId="1" xfId="0" applyFill="1" applyBorder="1" applyAlignment="1">
      <alignment vertical="center" wrapText="1"/>
    </xf>
    <xf numFmtId="43" fontId="0" fillId="23" borderId="1" xfId="2" applyFont="1" applyFill="1" applyBorder="1" applyAlignment="1">
      <alignment vertical="center" wrapText="1"/>
    </xf>
    <xf numFmtId="0" fontId="0" fillId="23" borderId="1" xfId="0" applyFill="1" applyBorder="1" applyAlignment="1">
      <alignment horizontal="left" vertical="center" wrapText="1"/>
    </xf>
    <xf numFmtId="0" fontId="0" fillId="24" borderId="1" xfId="0" applyFill="1" applyBorder="1" applyAlignment="1">
      <alignment vertical="center" wrapText="1"/>
    </xf>
    <xf numFmtId="43" fontId="0" fillId="24" borderId="1" xfId="2" applyFont="1" applyFill="1" applyBorder="1" applyAlignment="1">
      <alignment vertical="center" wrapText="1"/>
    </xf>
    <xf numFmtId="0" fontId="0" fillId="24" borderId="1" xfId="0" applyFill="1" applyBorder="1" applyAlignment="1">
      <alignment horizontal="left" vertical="center" wrapText="1"/>
    </xf>
    <xf numFmtId="0" fontId="0" fillId="25" borderId="1" xfId="0" applyFill="1" applyBorder="1" applyAlignment="1">
      <alignment vertical="center" wrapText="1"/>
    </xf>
    <xf numFmtId="0" fontId="0" fillId="26" borderId="1" xfId="0" applyFill="1" applyBorder="1" applyAlignment="1">
      <alignment vertical="center" wrapText="1"/>
    </xf>
    <xf numFmtId="0" fontId="0" fillId="0" borderId="1" xfId="0" applyBorder="1" applyAlignment="1">
      <alignment horizontal="right" vertical="center" wrapText="1"/>
    </xf>
    <xf numFmtId="0" fontId="6" fillId="10" borderId="1" xfId="0" applyFont="1" applyFill="1" applyBorder="1" applyAlignment="1">
      <alignment horizontal="right" vertical="center" wrapText="1"/>
    </xf>
    <xf numFmtId="166" fontId="6" fillId="10" borderId="1" xfId="2" applyNumberFormat="1" applyFont="1" applyFill="1" applyBorder="1" applyAlignment="1">
      <alignment horizontal="right" vertical="center" wrapText="1"/>
    </xf>
    <xf numFmtId="0" fontId="4" fillId="10" borderId="1" xfId="0" applyFont="1" applyFill="1" applyBorder="1" applyAlignment="1">
      <alignment horizontal="right" vertical="center" wrapText="1"/>
    </xf>
    <xf numFmtId="166" fontId="3" fillId="10" borderId="1" xfId="2" applyNumberFormat="1" applyFont="1" applyFill="1" applyBorder="1" applyAlignment="1">
      <alignment horizontal="right" vertical="center" wrapText="1"/>
    </xf>
    <xf numFmtId="43" fontId="3" fillId="0" borderId="1" xfId="2" applyFont="1" applyFill="1" applyBorder="1" applyAlignment="1">
      <alignment horizontal="right" vertical="center" wrapText="1"/>
    </xf>
    <xf numFmtId="0" fontId="0" fillId="10" borderId="1" xfId="0" applyFill="1" applyBorder="1" applyAlignment="1">
      <alignment horizontal="right" vertical="center" wrapText="1"/>
    </xf>
    <xf numFmtId="4" fontId="6" fillId="6" borderId="1" xfId="0" applyNumberFormat="1" applyFont="1" applyFill="1" applyBorder="1" applyAlignment="1">
      <alignment horizontal="right" vertical="center" wrapText="1"/>
    </xf>
    <xf numFmtId="166" fontId="3" fillId="0" borderId="1" xfId="2" applyNumberFormat="1" applyFont="1" applyFill="1" applyBorder="1" applyAlignment="1">
      <alignment horizontal="right" vertical="center" wrapText="1"/>
    </xf>
    <xf numFmtId="0" fontId="2" fillId="0" borderId="1" xfId="0" applyFont="1" applyBorder="1" applyAlignment="1">
      <alignment horizontal="right" vertical="center" wrapText="1"/>
    </xf>
    <xf numFmtId="0" fontId="0" fillId="6" borderId="1" xfId="0" applyFill="1" applyBorder="1" applyAlignment="1">
      <alignment horizontal="right" vertical="center" wrapText="1"/>
    </xf>
    <xf numFmtId="166" fontId="0" fillId="0" borderId="1" xfId="2" applyNumberFormat="1" applyFont="1" applyBorder="1" applyAlignment="1">
      <alignment horizontal="right" vertical="center" wrapText="1"/>
    </xf>
    <xf numFmtId="3" fontId="2" fillId="0" borderId="1" xfId="2" applyNumberFormat="1" applyFont="1" applyBorder="1" applyAlignment="1">
      <alignment horizontal="right" vertical="center" wrapText="1"/>
    </xf>
    <xf numFmtId="3" fontId="0" fillId="6" borderId="1" xfId="2" applyNumberFormat="1" applyFont="1" applyFill="1" applyBorder="1" applyAlignment="1">
      <alignment horizontal="right" vertical="center" wrapText="1"/>
    </xf>
    <xf numFmtId="3" fontId="0" fillId="0" borderId="1" xfId="2" applyNumberFormat="1" applyFont="1" applyFill="1" applyBorder="1" applyAlignment="1">
      <alignment horizontal="right" vertical="center" wrapText="1"/>
    </xf>
    <xf numFmtId="3" fontId="0" fillId="0" borderId="0" xfId="2" applyNumberFormat="1" applyFont="1" applyFill="1" applyAlignment="1">
      <alignment horizontal="right" vertical="center" wrapText="1"/>
    </xf>
    <xf numFmtId="3" fontId="0" fillId="6" borderId="1" xfId="1" applyNumberFormat="1" applyFont="1" applyFill="1" applyBorder="1" applyAlignment="1">
      <alignment horizontal="right" vertical="center" wrapText="1"/>
    </xf>
    <xf numFmtId="43" fontId="0" fillId="10" borderId="1" xfId="2" applyFont="1" applyFill="1" applyBorder="1" applyAlignment="1">
      <alignment horizontal="left" vertical="center" wrapText="1"/>
    </xf>
    <xf numFmtId="166" fontId="0" fillId="10" borderId="1" xfId="2" applyNumberFormat="1" applyFont="1" applyFill="1" applyBorder="1" applyAlignment="1">
      <alignment horizontal="right" vertical="center" wrapText="1"/>
    </xf>
    <xf numFmtId="1" fontId="4" fillId="10" borderId="1" xfId="0" applyNumberFormat="1" applyFont="1" applyFill="1" applyBorder="1" applyAlignment="1">
      <alignment horizontal="right" vertical="center" wrapText="1"/>
    </xf>
    <xf numFmtId="4" fontId="2" fillId="0" borderId="1" xfId="2" applyNumberFormat="1" applyFont="1" applyBorder="1" applyAlignment="1">
      <alignment horizontal="right" vertical="center" wrapText="1"/>
    </xf>
    <xf numFmtId="4" fontId="0" fillId="0" borderId="0" xfId="2" applyNumberFormat="1" applyFont="1" applyAlignment="1">
      <alignment vertical="center" wrapText="1"/>
    </xf>
    <xf numFmtId="4" fontId="12" fillId="10" borderId="1" xfId="1" applyNumberFormat="1" applyFont="1" applyFill="1" applyBorder="1" applyAlignment="1">
      <alignment horizontal="right" vertical="center" wrapText="1"/>
    </xf>
    <xf numFmtId="4" fontId="12" fillId="10" borderId="1" xfId="1" applyNumberFormat="1" applyFont="1" applyFill="1" applyBorder="1" applyAlignment="1">
      <alignment horizontal="left" vertical="center" wrapText="1"/>
    </xf>
    <xf numFmtId="4" fontId="12" fillId="0" borderId="1" xfId="1" applyNumberFormat="1" applyFont="1" applyBorder="1" applyAlignment="1">
      <alignment horizontal="right" vertical="center" wrapText="1"/>
    </xf>
    <xf numFmtId="4" fontId="12" fillId="3" borderId="1" xfId="1" applyNumberFormat="1" applyFont="1" applyFill="1" applyBorder="1" applyAlignment="1">
      <alignment horizontal="right" vertical="center" wrapText="1"/>
    </xf>
    <xf numFmtId="4" fontId="14" fillId="6" borderId="1" xfId="2" applyNumberFormat="1" applyFont="1" applyFill="1" applyBorder="1" applyAlignment="1">
      <alignment horizontal="right" vertical="center" wrapText="1"/>
    </xf>
    <xf numFmtId="43" fontId="14" fillId="6" borderId="1" xfId="2" applyFont="1" applyFill="1" applyBorder="1" applyAlignment="1">
      <alignment horizontal="right" vertical="center" wrapText="1"/>
    </xf>
    <xf numFmtId="0" fontId="0" fillId="3" borderId="1" xfId="0" applyFill="1" applyBorder="1" applyAlignment="1">
      <alignment vertical="center" wrapText="1"/>
    </xf>
    <xf numFmtId="43" fontId="0" fillId="3" borderId="1" xfId="2" applyFont="1" applyFill="1" applyBorder="1" applyAlignment="1">
      <alignment horizontal="right" vertical="center" wrapText="1"/>
    </xf>
    <xf numFmtId="4" fontId="12" fillId="3" borderId="1" xfId="1" applyNumberFormat="1" applyFont="1" applyFill="1" applyBorder="1" applyAlignment="1">
      <alignment horizontal="left" vertical="center" wrapText="1"/>
    </xf>
    <xf numFmtId="4" fontId="6" fillId="3" borderId="1" xfId="1" applyNumberFormat="1" applyFont="1" applyFill="1" applyBorder="1" applyAlignment="1">
      <alignment horizontal="right" vertical="center" wrapText="1"/>
    </xf>
    <xf numFmtId="4" fontId="6" fillId="3" borderId="1" xfId="1" applyNumberFormat="1" applyFont="1" applyFill="1" applyBorder="1" applyAlignment="1">
      <alignment horizontal="left" vertical="center" wrapText="1"/>
    </xf>
    <xf numFmtId="43" fontId="14" fillId="27" borderId="1" xfId="2" applyFont="1" applyFill="1" applyBorder="1" applyAlignment="1">
      <alignment horizontal="center" vertical="center" wrapText="1"/>
    </xf>
    <xf numFmtId="9" fontId="6" fillId="10" borderId="1" xfId="1" applyFont="1" applyFill="1" applyBorder="1" applyAlignment="1">
      <alignment horizontal="center" vertical="center" wrapText="1"/>
    </xf>
    <xf numFmtId="43" fontId="13" fillId="10" borderId="1" xfId="2" applyFont="1" applyFill="1" applyBorder="1" applyAlignment="1">
      <alignment horizontal="center" vertical="center" wrapText="1"/>
    </xf>
    <xf numFmtId="43" fontId="13" fillId="0" borderId="1" xfId="2" applyFont="1" applyBorder="1" applyAlignment="1">
      <alignment horizontal="right" vertical="center" wrapText="1"/>
    </xf>
    <xf numFmtId="43" fontId="6" fillId="6" borderId="1" xfId="2" applyFont="1" applyFill="1" applyBorder="1" applyAlignment="1">
      <alignment horizontal="right" vertical="center" wrapText="1"/>
    </xf>
    <xf numFmtId="4" fontId="6" fillId="0" borderId="1" xfId="2" applyNumberFormat="1" applyFont="1" applyBorder="1" applyAlignment="1">
      <alignment horizontal="right" vertical="center" wrapText="1"/>
    </xf>
    <xf numFmtId="9" fontId="6" fillId="3" borderId="1" xfId="1" applyFont="1" applyFill="1" applyBorder="1" applyAlignment="1">
      <alignment horizontal="center" vertical="center" wrapText="1"/>
    </xf>
    <xf numFmtId="9" fontId="6" fillId="0" borderId="1" xfId="1" applyFont="1" applyBorder="1" applyAlignment="1">
      <alignment horizontal="center" vertical="center" wrapText="1"/>
    </xf>
    <xf numFmtId="4" fontId="6" fillId="6" borderId="1" xfId="2" applyNumberFormat="1" applyFont="1" applyFill="1" applyBorder="1" applyAlignment="1">
      <alignment horizontal="right" vertical="center" wrapText="1"/>
    </xf>
    <xf numFmtId="43" fontId="6" fillId="0" borderId="0" xfId="2" applyFont="1" applyAlignment="1">
      <alignment vertical="center" wrapText="1"/>
    </xf>
    <xf numFmtId="9" fontId="0" fillId="0" borderId="1" xfId="1" applyFont="1" applyFill="1" applyBorder="1" applyAlignment="1">
      <alignment horizontal="center" vertical="center" wrapText="1"/>
    </xf>
    <xf numFmtId="9" fontId="0" fillId="0" borderId="1" xfId="1" applyFont="1" applyBorder="1" applyAlignment="1">
      <alignment horizontal="center" vertical="center" wrapText="1"/>
    </xf>
    <xf numFmtId="4" fontId="12" fillId="0" borderId="1" xfId="2" applyNumberFormat="1" applyFont="1" applyBorder="1" applyAlignment="1">
      <alignment horizontal="right" vertical="center" wrapText="1"/>
    </xf>
    <xf numFmtId="43" fontId="12" fillId="10" borderId="1" xfId="2" applyFont="1" applyFill="1" applyBorder="1" applyAlignment="1">
      <alignment horizontal="right" vertical="center" wrapText="1"/>
    </xf>
    <xf numFmtId="43" fontId="12" fillId="10" borderId="1" xfId="2" applyFont="1" applyFill="1" applyBorder="1" applyAlignment="1">
      <alignment horizontal="left" vertical="center" wrapText="1"/>
    </xf>
    <xf numFmtId="43" fontId="6" fillId="10" borderId="1" xfId="1" applyNumberFormat="1" applyFont="1" applyFill="1" applyBorder="1" applyAlignment="1">
      <alignment horizontal="center" vertical="center" wrapText="1"/>
    </xf>
    <xf numFmtId="9" fontId="6" fillId="10" borderId="1" xfId="1" applyFont="1" applyFill="1" applyBorder="1" applyAlignment="1">
      <alignment horizontal="left" vertical="center" wrapText="1"/>
    </xf>
    <xf numFmtId="43" fontId="13" fillId="6" borderId="1" xfId="2" applyFont="1" applyFill="1" applyBorder="1" applyAlignment="1">
      <alignment horizontal="right" vertical="center" wrapText="1"/>
    </xf>
    <xf numFmtId="43" fontId="0" fillId="0" borderId="1" xfId="2" applyFont="1" applyFill="1" applyBorder="1" applyAlignment="1">
      <alignment horizontal="left" vertical="center" wrapText="1"/>
    </xf>
    <xf numFmtId="43" fontId="6" fillId="10" borderId="1" xfId="2" applyFont="1" applyFill="1" applyBorder="1" applyAlignment="1">
      <alignment horizontal="left" vertical="center" wrapText="1"/>
    </xf>
    <xf numFmtId="43" fontId="12" fillId="0" borderId="1" xfId="2" applyFont="1" applyBorder="1" applyAlignment="1">
      <alignment horizontal="left" vertical="center" wrapText="1"/>
    </xf>
    <xf numFmtId="43" fontId="2" fillId="6" borderId="1" xfId="2" applyFont="1" applyFill="1" applyBorder="1" applyAlignment="1">
      <alignment horizontal="right" vertical="center" wrapText="1"/>
    </xf>
    <xf numFmtId="3" fontId="27" fillId="0" borderId="0" xfId="0" applyNumberFormat="1" applyFont="1" applyAlignment="1">
      <alignment vertical="center"/>
    </xf>
    <xf numFmtId="0" fontId="4" fillId="0" borderId="1" xfId="0" applyFont="1" applyBorder="1" applyAlignment="1">
      <alignment vertical="center" wrapText="1"/>
    </xf>
    <xf numFmtId="43" fontId="0" fillId="6" borderId="1" xfId="2" applyFont="1" applyFill="1" applyBorder="1" applyAlignment="1">
      <alignment horizontal="left" vertical="center" wrapText="1"/>
    </xf>
    <xf numFmtId="43" fontId="0" fillId="0" borderId="1" xfId="2" applyFont="1" applyBorder="1" applyAlignment="1">
      <alignment horizontal="left" vertical="center" wrapText="1"/>
    </xf>
    <xf numFmtId="4" fontId="12" fillId="10" borderId="1" xfId="2" applyNumberFormat="1" applyFont="1" applyFill="1" applyBorder="1" applyAlignment="1">
      <alignment horizontal="right" vertical="center" wrapText="1"/>
    </xf>
    <xf numFmtId="43" fontId="12" fillId="0" borderId="1" xfId="2" applyFont="1" applyBorder="1" applyAlignment="1">
      <alignment horizontal="right" vertical="center" wrapText="1"/>
    </xf>
    <xf numFmtId="43" fontId="14" fillId="6" borderId="1" xfId="2" applyFont="1" applyFill="1" applyBorder="1" applyAlignment="1">
      <alignment horizontal="left" vertical="center" wrapText="1"/>
    </xf>
    <xf numFmtId="43" fontId="4" fillId="0" borderId="1" xfId="2" applyFont="1" applyBorder="1" applyAlignment="1">
      <alignment vertical="center" wrapText="1"/>
    </xf>
    <xf numFmtId="0" fontId="0" fillId="3" borderId="0" xfId="0" applyFill="1" applyAlignment="1">
      <alignment horizontal="center" vertical="center" wrapText="1"/>
    </xf>
    <xf numFmtId="0" fontId="4" fillId="13" borderId="1" xfId="0" applyFont="1" applyFill="1" applyBorder="1" applyAlignment="1">
      <alignment vertical="center" wrapText="1"/>
    </xf>
    <xf numFmtId="0" fontId="4" fillId="24" borderId="1" xfId="0" applyFont="1" applyFill="1" applyBorder="1" applyAlignment="1">
      <alignment vertical="center" wrapText="1"/>
    </xf>
    <xf numFmtId="0" fontId="4" fillId="3" borderId="1" xfId="0" applyFont="1" applyFill="1" applyBorder="1" applyAlignment="1">
      <alignment vertical="center" wrapText="1"/>
    </xf>
    <xf numFmtId="43" fontId="0" fillId="3" borderId="0" xfId="2" applyFont="1" applyFill="1" applyAlignment="1">
      <alignment vertical="center" wrapText="1"/>
    </xf>
    <xf numFmtId="0" fontId="0" fillId="3" borderId="0" xfId="0" applyFill="1" applyAlignment="1">
      <alignment vertical="center" wrapText="1"/>
    </xf>
    <xf numFmtId="43" fontId="0" fillId="3" borderId="0" xfId="2" applyFont="1" applyFill="1" applyBorder="1" applyAlignment="1">
      <alignment vertical="center" wrapText="1"/>
    </xf>
    <xf numFmtId="4" fontId="0" fillId="3" borderId="0" xfId="2" applyNumberFormat="1" applyFont="1" applyFill="1" applyBorder="1" applyAlignment="1">
      <alignment horizontal="right" vertical="center" wrapText="1"/>
    </xf>
    <xf numFmtId="49" fontId="4" fillId="8" borderId="5" xfId="0" applyNumberFormat="1" applyFont="1" applyFill="1" applyBorder="1" applyAlignment="1">
      <alignment horizontal="center" vertical="center" wrapText="1"/>
    </xf>
    <xf numFmtId="4" fontId="6" fillId="10" borderId="1" xfId="2" applyNumberFormat="1" applyFont="1" applyFill="1" applyBorder="1" applyAlignment="1">
      <alignment vertical="center" wrapText="1"/>
    </xf>
    <xf numFmtId="43" fontId="0" fillId="28" borderId="5" xfId="2" applyFont="1" applyFill="1" applyBorder="1" applyAlignment="1">
      <alignment horizontal="right" vertical="center" wrapText="1"/>
    </xf>
    <xf numFmtId="4" fontId="13" fillId="6" borderId="1" xfId="2" applyNumberFormat="1" applyFont="1" applyFill="1" applyBorder="1" applyAlignment="1">
      <alignment horizontal="right" vertical="center" wrapText="1"/>
    </xf>
    <xf numFmtId="43" fontId="13" fillId="6" borderId="1" xfId="2" applyFont="1" applyFill="1" applyBorder="1" applyAlignment="1">
      <alignment horizontal="left" vertical="center" wrapText="1"/>
    </xf>
    <xf numFmtId="4" fontId="14" fillId="6" borderId="1" xfId="2" applyNumberFormat="1" applyFont="1" applyFill="1" applyBorder="1" applyAlignment="1">
      <alignment horizontal="left" vertical="center" wrapText="1"/>
    </xf>
    <xf numFmtId="3" fontId="0" fillId="3" borderId="0" xfId="0" applyNumberFormat="1" applyFill="1" applyAlignment="1">
      <alignment horizontal="right" vertical="center" wrapText="1"/>
    </xf>
    <xf numFmtId="0" fontId="4" fillId="12" borderId="1" xfId="0" applyFont="1" applyFill="1" applyBorder="1" applyAlignment="1">
      <alignment vertical="center" wrapText="1"/>
    </xf>
    <xf numFmtId="3" fontId="4" fillId="0" borderId="1" xfId="0" applyNumberFormat="1" applyFont="1" applyBorder="1" applyAlignment="1">
      <alignment vertical="center" wrapText="1"/>
    </xf>
    <xf numFmtId="0" fontId="4" fillId="21" borderId="1" xfId="0" applyFont="1" applyFill="1" applyBorder="1" applyAlignment="1">
      <alignment vertical="center" wrapText="1"/>
    </xf>
    <xf numFmtId="0" fontId="4" fillId="4" borderId="1" xfId="0" applyFont="1" applyFill="1" applyBorder="1" applyAlignment="1">
      <alignment vertical="center" wrapText="1"/>
    </xf>
    <xf numFmtId="3" fontId="4" fillId="0" borderId="1" xfId="0" applyNumberFormat="1" applyFont="1" applyBorder="1" applyAlignment="1">
      <alignment horizontal="right" vertical="center" wrapText="1"/>
    </xf>
    <xf numFmtId="4" fontId="4" fillId="3" borderId="5" xfId="1" applyNumberFormat="1" applyFont="1" applyFill="1" applyBorder="1" applyAlignment="1">
      <alignment horizontal="right" vertical="center" wrapText="1"/>
    </xf>
    <xf numFmtId="9" fontId="4" fillId="3" borderId="5" xfId="1" applyFont="1" applyFill="1" applyBorder="1" applyAlignment="1">
      <alignment horizontal="center" vertical="center" wrapText="1"/>
    </xf>
    <xf numFmtId="4" fontId="6" fillId="10" borderId="1" xfId="1" applyNumberFormat="1" applyFont="1" applyFill="1" applyBorder="1" applyAlignment="1">
      <alignment horizontal="right" vertical="center" wrapText="1"/>
    </xf>
    <xf numFmtId="43" fontId="28" fillId="0" borderId="0" xfId="2" applyFont="1" applyAlignment="1">
      <alignment vertical="center"/>
    </xf>
    <xf numFmtId="3" fontId="4" fillId="28" borderId="1" xfId="0" applyNumberFormat="1" applyFont="1" applyFill="1" applyBorder="1" applyAlignment="1">
      <alignment vertical="center" wrapText="1"/>
    </xf>
    <xf numFmtId="43" fontId="0" fillId="28" borderId="5" xfId="2" applyFont="1" applyFill="1" applyBorder="1" applyAlignment="1">
      <alignment vertical="center" wrapText="1"/>
    </xf>
    <xf numFmtId="43" fontId="0" fillId="28" borderId="6" xfId="2" applyFont="1" applyFill="1" applyBorder="1" applyAlignment="1">
      <alignment vertical="center" wrapText="1"/>
    </xf>
    <xf numFmtId="3" fontId="4" fillId="28" borderId="1" xfId="0" applyNumberFormat="1" applyFont="1" applyFill="1" applyBorder="1" applyAlignment="1">
      <alignment horizontal="right" vertical="center" wrapText="1"/>
    </xf>
    <xf numFmtId="43" fontId="0" fillId="28" borderId="7" xfId="2" applyFont="1" applyFill="1" applyBorder="1" applyAlignment="1">
      <alignment horizontal="right" vertical="center" wrapText="1"/>
    </xf>
    <xf numFmtId="43" fontId="0" fillId="28" borderId="7" xfId="2" applyFont="1" applyFill="1" applyBorder="1" applyAlignment="1">
      <alignment horizontal="center" vertical="center" wrapText="1"/>
    </xf>
    <xf numFmtId="166" fontId="6" fillId="10" borderId="1" xfId="2" applyNumberFormat="1" applyFont="1" applyFill="1" applyBorder="1" applyAlignment="1">
      <alignment vertical="center" wrapText="1"/>
    </xf>
    <xf numFmtId="3" fontId="3" fillId="10" borderId="1" xfId="2" applyNumberFormat="1" applyFont="1" applyFill="1" applyBorder="1" applyAlignment="1">
      <alignment horizontal="right" vertical="center" wrapText="1"/>
    </xf>
    <xf numFmtId="3" fontId="6" fillId="10" borderId="1" xfId="2" applyNumberFormat="1" applyFont="1" applyFill="1" applyBorder="1" applyAlignment="1">
      <alignment horizontal="right" vertical="center" wrapText="1"/>
    </xf>
    <xf numFmtId="0" fontId="0" fillId="28" borderId="1" xfId="0" applyFill="1" applyBorder="1" applyAlignment="1">
      <alignment vertical="center" wrapText="1"/>
    </xf>
    <xf numFmtId="3" fontId="6" fillId="10" borderId="1" xfId="2" applyNumberFormat="1" applyFont="1" applyFill="1" applyBorder="1" applyAlignment="1">
      <alignment vertical="center" wrapText="1"/>
    </xf>
    <xf numFmtId="3" fontId="6" fillId="10" borderId="1" xfId="0" applyNumberFormat="1" applyFont="1" applyFill="1" applyBorder="1" applyAlignment="1">
      <alignment vertical="center" wrapText="1"/>
    </xf>
    <xf numFmtId="3" fontId="6" fillId="0" borderId="1" xfId="0" applyNumberFormat="1" applyFont="1" applyBorder="1" applyAlignment="1">
      <alignment vertical="center" wrapText="1"/>
    </xf>
    <xf numFmtId="0" fontId="4" fillId="28" borderId="1" xfId="0" applyFont="1" applyFill="1" applyBorder="1" applyAlignment="1">
      <alignment vertical="center" wrapText="1"/>
    </xf>
    <xf numFmtId="0" fontId="0" fillId="28" borderId="1" xfId="0" applyFill="1" applyBorder="1" applyAlignment="1">
      <alignment horizontal="center" vertical="center" wrapText="1"/>
    </xf>
    <xf numFmtId="4" fontId="6" fillId="10" borderId="1" xfId="1" applyNumberFormat="1" applyFont="1" applyFill="1" applyBorder="1" applyAlignment="1">
      <alignment horizontal="left" vertical="center" wrapText="1"/>
    </xf>
    <xf numFmtId="3" fontId="6" fillId="0" borderId="1" xfId="0" applyNumberFormat="1" applyFont="1" applyBorder="1" applyAlignment="1">
      <alignment horizontal="right" vertical="center" wrapText="1"/>
    </xf>
    <xf numFmtId="43" fontId="4" fillId="10" borderId="12" xfId="2" applyFont="1" applyFill="1" applyBorder="1" applyAlignment="1">
      <alignment horizontal="center" vertical="center"/>
    </xf>
    <xf numFmtId="43" fontId="4" fillId="10" borderId="8" xfId="2" applyFont="1" applyFill="1" applyBorder="1" applyAlignment="1">
      <alignment horizontal="center" vertical="center"/>
    </xf>
    <xf numFmtId="43" fontId="28" fillId="10" borderId="9" xfId="2" applyFont="1" applyFill="1" applyBorder="1" applyAlignment="1">
      <alignment horizontal="left" vertical="center"/>
    </xf>
    <xf numFmtId="43" fontId="0" fillId="10" borderId="12" xfId="2" applyFont="1" applyFill="1" applyBorder="1" applyAlignment="1">
      <alignment vertical="center" wrapText="1"/>
    </xf>
    <xf numFmtId="43" fontId="0" fillId="10" borderId="8" xfId="2" applyFont="1" applyFill="1" applyBorder="1" applyAlignment="1">
      <alignment vertical="center" wrapText="1"/>
    </xf>
    <xf numFmtId="43" fontId="14" fillId="27" borderId="9" xfId="2" applyFont="1" applyFill="1" applyBorder="1" applyAlignment="1">
      <alignment horizontal="left" vertical="center"/>
    </xf>
    <xf numFmtId="43" fontId="0" fillId="27" borderId="8" xfId="2" applyFont="1" applyFill="1" applyBorder="1" applyAlignment="1">
      <alignment vertical="center" wrapText="1"/>
    </xf>
    <xf numFmtId="4" fontId="4" fillId="3" borderId="1" xfId="1" applyNumberFormat="1" applyFont="1" applyFill="1" applyBorder="1" applyAlignment="1">
      <alignment horizontal="left" vertical="center" wrapText="1"/>
    </xf>
    <xf numFmtId="0" fontId="0" fillId="29" borderId="1" xfId="0" applyFill="1" applyBorder="1" applyAlignment="1">
      <alignment vertical="center" wrapText="1"/>
    </xf>
    <xf numFmtId="0" fontId="4" fillId="29" borderId="1" xfId="0" applyFont="1" applyFill="1" applyBorder="1" applyAlignment="1">
      <alignment vertical="center" wrapText="1"/>
    </xf>
    <xf numFmtId="3" fontId="6" fillId="0" borderId="1" xfId="2" applyNumberFormat="1" applyFont="1" applyBorder="1" applyAlignment="1">
      <alignment horizontal="right" vertical="center" wrapText="1"/>
    </xf>
    <xf numFmtId="3" fontId="4" fillId="3" borderId="1" xfId="0" applyNumberFormat="1" applyFont="1" applyFill="1" applyBorder="1" applyAlignment="1">
      <alignment horizontal="right" vertical="center" wrapText="1"/>
    </xf>
    <xf numFmtId="3" fontId="12" fillId="0" borderId="1" xfId="0" applyNumberFormat="1" applyFont="1" applyBorder="1" applyAlignment="1">
      <alignment horizontal="right" vertical="center" wrapText="1"/>
    </xf>
    <xf numFmtId="3" fontId="0" fillId="28" borderId="1" xfId="0" applyNumberFormat="1" applyFill="1" applyBorder="1" applyAlignment="1">
      <alignment horizontal="right" vertical="center" wrapText="1"/>
    </xf>
    <xf numFmtId="3" fontId="0" fillId="3" borderId="1" xfId="0" applyNumberFormat="1" applyFill="1" applyBorder="1" applyAlignment="1">
      <alignment horizontal="right" vertical="center" wrapText="1"/>
    </xf>
    <xf numFmtId="0" fontId="4" fillId="6" borderId="1" xfId="0" applyFont="1" applyFill="1" applyBorder="1" applyAlignment="1">
      <alignment vertical="center" wrapText="1"/>
    </xf>
    <xf numFmtId="0" fontId="4" fillId="8" borderId="1" xfId="0" applyFont="1" applyFill="1" applyBorder="1" applyAlignment="1">
      <alignment horizontal="center" vertical="center" wrapText="1"/>
    </xf>
    <xf numFmtId="0" fontId="4" fillId="23" borderId="1" xfId="0" applyFont="1" applyFill="1" applyBorder="1" applyAlignment="1">
      <alignment vertical="center" wrapText="1"/>
    </xf>
    <xf numFmtId="43" fontId="4" fillId="3" borderId="1" xfId="2" applyFont="1" applyFill="1" applyBorder="1" applyAlignment="1">
      <alignment vertical="center" wrapText="1"/>
    </xf>
    <xf numFmtId="43" fontId="0" fillId="28" borderId="1" xfId="2" applyFont="1" applyFill="1" applyBorder="1" applyAlignment="1">
      <alignment vertical="center" wrapText="1"/>
    </xf>
    <xf numFmtId="3" fontId="0" fillId="28" borderId="1" xfId="0" applyNumberFormat="1" applyFill="1" applyBorder="1" applyAlignment="1">
      <alignment vertical="center" wrapText="1"/>
    </xf>
    <xf numFmtId="0" fontId="4" fillId="6" borderId="1" xfId="0" applyFont="1" applyFill="1" applyBorder="1" applyAlignment="1">
      <alignment horizontal="center" vertical="center" wrapText="1"/>
    </xf>
    <xf numFmtId="4" fontId="4" fillId="3" borderId="1" xfId="1" applyNumberFormat="1" applyFont="1" applyFill="1" applyBorder="1" applyAlignment="1">
      <alignment horizontal="right" vertical="center" wrapText="1"/>
    </xf>
    <xf numFmtId="4" fontId="28" fillId="6" borderId="1" xfId="1" applyNumberFormat="1" applyFont="1" applyFill="1" applyBorder="1" applyAlignment="1">
      <alignment horizontal="right" vertical="center" wrapText="1"/>
    </xf>
    <xf numFmtId="43" fontId="28" fillId="6" borderId="1" xfId="2" applyFont="1" applyFill="1" applyBorder="1" applyAlignment="1">
      <alignment vertical="center" wrapText="1"/>
    </xf>
    <xf numFmtId="43" fontId="28" fillId="6" borderId="1" xfId="1" applyNumberFormat="1" applyFont="1" applyFill="1" applyBorder="1" applyAlignment="1">
      <alignment horizontal="center" vertical="center" wrapText="1"/>
    </xf>
    <xf numFmtId="0" fontId="4" fillId="19" borderId="1" xfId="0" applyFont="1" applyFill="1" applyBorder="1" applyAlignment="1">
      <alignment vertical="center" wrapText="1"/>
    </xf>
    <xf numFmtId="166" fontId="0" fillId="3" borderId="0" xfId="2" applyNumberFormat="1" applyFont="1" applyFill="1" applyBorder="1" applyAlignment="1">
      <alignment vertical="center" wrapText="1"/>
    </xf>
    <xf numFmtId="3" fontId="0" fillId="3" borderId="0" xfId="2" applyNumberFormat="1" applyFont="1" applyFill="1" applyBorder="1" applyAlignment="1">
      <alignment horizontal="right" vertical="center" wrapText="1"/>
    </xf>
    <xf numFmtId="4" fontId="0" fillId="28" borderId="1" xfId="2" applyNumberFormat="1" applyFont="1" applyFill="1" applyBorder="1" applyAlignment="1">
      <alignment horizontal="right" vertical="center" wrapText="1"/>
    </xf>
    <xf numFmtId="4" fontId="28" fillId="6" borderId="1" xfId="2" applyNumberFormat="1" applyFont="1" applyFill="1" applyBorder="1" applyAlignment="1">
      <alignment horizontal="right" vertical="center" wrapText="1"/>
    </xf>
    <xf numFmtId="4" fontId="28" fillId="6" borderId="1" xfId="2" applyNumberFormat="1" applyFont="1" applyFill="1" applyBorder="1" applyAlignment="1">
      <alignment horizontal="left" vertical="center" wrapText="1"/>
    </xf>
    <xf numFmtId="49" fontId="4" fillId="3" borderId="0" xfId="0" applyNumberFormat="1" applyFont="1" applyFill="1" applyAlignment="1">
      <alignment vertical="center" wrapText="1"/>
    </xf>
    <xf numFmtId="49" fontId="4" fillId="3" borderId="0" xfId="0" applyNumberFormat="1" applyFont="1" applyFill="1" applyAlignment="1">
      <alignment horizontal="center" vertical="center" wrapText="1"/>
    </xf>
    <xf numFmtId="0" fontId="4" fillId="3" borderId="0" xfId="0" applyFont="1" applyFill="1" applyAlignment="1">
      <alignment vertical="center" wrapText="1"/>
    </xf>
    <xf numFmtId="4" fontId="4" fillId="3" borderId="0" xfId="2" applyNumberFormat="1" applyFont="1" applyFill="1" applyBorder="1" applyAlignment="1">
      <alignment horizontal="right" vertical="center" wrapText="1"/>
    </xf>
    <xf numFmtId="4" fontId="4" fillId="3" borderId="0" xfId="2" applyNumberFormat="1" applyFont="1" applyFill="1" applyBorder="1" applyAlignment="1">
      <alignment horizontal="left" vertical="center" wrapText="1"/>
    </xf>
    <xf numFmtId="9" fontId="4" fillId="3" borderId="0" xfId="1" applyFont="1" applyFill="1" applyBorder="1" applyAlignment="1">
      <alignment horizontal="center" vertical="center" wrapText="1"/>
    </xf>
    <xf numFmtId="166" fontId="0" fillId="28" borderId="1" xfId="2" applyNumberFormat="1" applyFont="1" applyFill="1" applyBorder="1" applyAlignment="1">
      <alignment vertical="center" wrapText="1"/>
    </xf>
    <xf numFmtId="166" fontId="4" fillId="3" borderId="1" xfId="2" applyNumberFormat="1" applyFont="1" applyFill="1" applyBorder="1" applyAlignment="1">
      <alignment vertical="center" wrapText="1"/>
    </xf>
    <xf numFmtId="0" fontId="4" fillId="21" borderId="1" xfId="0" applyFont="1" applyFill="1" applyBorder="1" applyAlignment="1">
      <alignment horizontal="left" vertical="center" wrapText="1"/>
    </xf>
    <xf numFmtId="0" fontId="4" fillId="3" borderId="0" xfId="0" applyFont="1" applyFill="1" applyAlignment="1">
      <alignment horizontal="left" vertical="center" wrapText="1"/>
    </xf>
    <xf numFmtId="0" fontId="12" fillId="0" borderId="0" xfId="0" applyFont="1" applyAlignment="1">
      <alignment vertical="center" wrapText="1"/>
    </xf>
    <xf numFmtId="3" fontId="12" fillId="3" borderId="1" xfId="2" applyNumberFormat="1" applyFont="1" applyFill="1" applyBorder="1" applyAlignment="1">
      <alignment vertical="center" wrapText="1"/>
    </xf>
    <xf numFmtId="3" fontId="12" fillId="3" borderId="1" xfId="2" applyNumberFormat="1" applyFont="1" applyFill="1" applyBorder="1" applyAlignment="1">
      <alignment horizontal="right" vertical="center" wrapText="1"/>
    </xf>
    <xf numFmtId="3" fontId="12" fillId="3" borderId="1" xfId="0" applyNumberFormat="1" applyFont="1" applyFill="1" applyBorder="1" applyAlignment="1">
      <alignment vertical="center" wrapText="1"/>
    </xf>
    <xf numFmtId="3" fontId="12" fillId="3" borderId="1" xfId="0" applyNumberFormat="1" applyFont="1" applyFill="1" applyBorder="1" applyAlignment="1">
      <alignment horizontal="right" vertical="center" wrapText="1"/>
    </xf>
    <xf numFmtId="166" fontId="12" fillId="3" borderId="1" xfId="2" applyNumberFormat="1" applyFont="1" applyFill="1" applyBorder="1" applyAlignment="1">
      <alignment vertical="center" wrapText="1"/>
    </xf>
    <xf numFmtId="166" fontId="12" fillId="10" borderId="1" xfId="2" applyNumberFormat="1" applyFont="1" applyFill="1" applyBorder="1" applyAlignment="1">
      <alignment vertical="center" wrapText="1"/>
    </xf>
    <xf numFmtId="3" fontId="12" fillId="10" borderId="1" xfId="2" applyNumberFormat="1" applyFont="1" applyFill="1" applyBorder="1" applyAlignment="1">
      <alignment horizontal="right" vertical="center" wrapText="1"/>
    </xf>
    <xf numFmtId="3" fontId="12" fillId="10" borderId="1" xfId="0" applyNumberFormat="1" applyFont="1" applyFill="1" applyBorder="1" applyAlignment="1">
      <alignment horizontal="right" vertical="center" wrapText="1"/>
    </xf>
    <xf numFmtId="0" fontId="4" fillId="14" borderId="1" xfId="0" applyFont="1" applyFill="1" applyBorder="1" applyAlignment="1">
      <alignment vertical="center" wrapText="1"/>
    </xf>
    <xf numFmtId="43" fontId="4" fillId="13" borderId="1" xfId="2" applyFont="1" applyFill="1" applyBorder="1" applyAlignment="1">
      <alignment vertical="center" wrapText="1"/>
    </xf>
    <xf numFmtId="0" fontId="4" fillId="3" borderId="1" xfId="0" applyFont="1" applyFill="1" applyBorder="1" applyAlignment="1">
      <alignment horizontal="left" vertical="center" wrapText="1"/>
    </xf>
    <xf numFmtId="4" fontId="0" fillId="28" borderId="1" xfId="2" applyNumberFormat="1" applyFont="1" applyFill="1" applyBorder="1" applyAlignment="1">
      <alignment horizontal="center" vertical="center" wrapText="1"/>
    </xf>
    <xf numFmtId="43" fontId="0" fillId="28" borderId="7" xfId="2" applyFont="1" applyFill="1" applyBorder="1" applyAlignment="1">
      <alignment vertical="center" wrapText="1"/>
    </xf>
    <xf numFmtId="0" fontId="4" fillId="0" borderId="5" xfId="0" applyFont="1" applyBorder="1" applyAlignment="1">
      <alignment horizontal="left" vertical="center" wrapText="1"/>
    </xf>
    <xf numFmtId="43" fontId="4" fillId="0" borderId="5" xfId="2" applyFont="1" applyBorder="1" applyAlignment="1">
      <alignment vertical="center" wrapText="1"/>
    </xf>
    <xf numFmtId="165" fontId="0" fillId="6" borderId="1" xfId="0" applyNumberFormat="1" applyFill="1" applyBorder="1" applyAlignment="1">
      <alignment vertical="center" wrapText="1"/>
    </xf>
    <xf numFmtId="49" fontId="4" fillId="5" borderId="1" xfId="0" applyNumberFormat="1" applyFont="1" applyFill="1" applyBorder="1" applyAlignment="1">
      <alignment horizontal="center" vertical="center" wrapText="1"/>
    </xf>
    <xf numFmtId="0" fontId="4" fillId="10" borderId="1" xfId="0" applyFont="1" applyFill="1" applyBorder="1" applyAlignment="1">
      <alignment vertical="center" wrapText="1"/>
    </xf>
    <xf numFmtId="0" fontId="4" fillId="0" borderId="0" xfId="0" applyFont="1" applyAlignment="1">
      <alignment horizontal="right" vertical="center" wrapText="1"/>
    </xf>
    <xf numFmtId="3" fontId="4" fillId="0" borderId="0" xfId="0" applyNumberFormat="1" applyFont="1" applyAlignment="1">
      <alignment vertical="center" wrapText="1"/>
    </xf>
    <xf numFmtId="43" fontId="0" fillId="0" borderId="0" xfId="2" applyFont="1" applyAlignment="1">
      <alignment horizontal="right" vertical="center" wrapText="1"/>
    </xf>
    <xf numFmtId="43" fontId="4" fillId="0" borderId="0" xfId="2" applyFont="1" applyAlignment="1">
      <alignment horizontal="right" vertical="center" wrapText="1"/>
    </xf>
    <xf numFmtId="166" fontId="0" fillId="0" borderId="0" xfId="2" applyNumberFormat="1" applyFont="1" applyAlignment="1">
      <alignment horizontal="right" vertical="center" wrapText="1"/>
    </xf>
    <xf numFmtId="166" fontId="4" fillId="0" borderId="0" xfId="2" applyNumberFormat="1" applyFont="1" applyAlignment="1">
      <alignment horizontal="right" vertical="center" wrapText="1"/>
    </xf>
    <xf numFmtId="49" fontId="0" fillId="0" borderId="0" xfId="0" applyNumberFormat="1" applyAlignment="1">
      <alignment horizontal="center" vertical="center" wrapText="1"/>
    </xf>
    <xf numFmtId="4" fontId="0" fillId="0" borderId="0" xfId="0" applyNumberFormat="1" applyAlignment="1">
      <alignment vertical="center" wrapText="1"/>
    </xf>
    <xf numFmtId="49" fontId="0" fillId="0" borderId="0" xfId="2" applyNumberFormat="1" applyFont="1" applyBorder="1" applyAlignment="1">
      <alignment horizontal="right" vertical="center" wrapText="1"/>
    </xf>
    <xf numFmtId="0" fontId="0" fillId="3" borderId="1" xfId="0" applyFill="1" applyBorder="1" applyAlignment="1">
      <alignment horizontal="left" vertical="center" wrapText="1"/>
    </xf>
    <xf numFmtId="4" fontId="4" fillId="3" borderId="1" xfId="0" applyNumberFormat="1" applyFont="1" applyFill="1" applyBorder="1" applyAlignment="1">
      <alignment horizontal="right" vertical="center" wrapText="1"/>
    </xf>
    <xf numFmtId="0" fontId="0" fillId="0" borderId="0" xfId="0" applyAlignment="1">
      <alignment vertical="center"/>
    </xf>
    <xf numFmtId="0" fontId="4" fillId="0" borderId="0" xfId="0" applyFont="1" applyAlignment="1">
      <alignment vertical="center" wrapText="1"/>
    </xf>
    <xf numFmtId="43" fontId="4" fillId="0" borderId="0" xfId="2" applyFont="1" applyAlignment="1">
      <alignment horizontal="left" vertical="center" wrapText="1"/>
    </xf>
    <xf numFmtId="9" fontId="0" fillId="0" borderId="0" xfId="1" applyFont="1" applyAlignment="1">
      <alignment vertical="center"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4" fontId="12" fillId="3" borderId="1" xfId="2" applyNumberFormat="1" applyFont="1" applyFill="1" applyBorder="1" applyAlignment="1">
      <alignment horizontal="right" vertical="center" wrapText="1"/>
    </xf>
    <xf numFmtId="43" fontId="4" fillId="3" borderId="0" xfId="2" applyFont="1" applyFill="1" applyBorder="1" applyAlignment="1">
      <alignment vertical="center" wrapText="1"/>
    </xf>
    <xf numFmtId="43" fontId="0" fillId="0" borderId="6" xfId="2" applyFont="1" applyBorder="1" applyAlignment="1">
      <alignment vertical="center" wrapText="1"/>
    </xf>
    <xf numFmtId="170" fontId="0" fillId="0" borderId="8" xfId="0" applyNumberFormat="1" applyBorder="1" applyAlignment="1">
      <alignment vertical="center" wrapText="1"/>
    </xf>
    <xf numFmtId="43" fontId="25" fillId="0" borderId="1" xfId="2" applyFont="1" applyBorder="1" applyAlignment="1">
      <alignment vertical="center" wrapText="1"/>
    </xf>
    <xf numFmtId="0" fontId="25" fillId="0" borderId="1" xfId="0" applyFont="1" applyBorder="1" applyAlignment="1">
      <alignment vertical="center" wrapText="1"/>
    </xf>
    <xf numFmtId="43" fontId="25" fillId="0" borderId="1" xfId="0" applyNumberFormat="1" applyFont="1" applyBorder="1" applyAlignment="1">
      <alignment vertical="center" wrapText="1"/>
    </xf>
    <xf numFmtId="165" fontId="29" fillId="0" borderId="1" xfId="0" applyNumberFormat="1" applyFont="1" applyBorder="1" applyAlignment="1">
      <alignment horizontal="right" vertical="center" wrapText="1"/>
    </xf>
    <xf numFmtId="43" fontId="4" fillId="3" borderId="0" xfId="2" applyFont="1" applyFill="1" applyAlignment="1">
      <alignment horizontal="right" vertical="center" wrapText="1"/>
    </xf>
    <xf numFmtId="0" fontId="4" fillId="3" borderId="0" xfId="0" applyFont="1" applyFill="1" applyAlignment="1">
      <alignment horizontal="right" vertical="center" wrapText="1"/>
    </xf>
    <xf numFmtId="3" fontId="4" fillId="3" borderId="0" xfId="0" applyNumberFormat="1" applyFont="1" applyFill="1" applyAlignment="1">
      <alignment vertical="center" wrapText="1"/>
    </xf>
    <xf numFmtId="0" fontId="0" fillId="3" borderId="0" xfId="0" applyFill="1" applyAlignment="1">
      <alignment horizontal="right" vertical="center" wrapText="1"/>
    </xf>
    <xf numFmtId="43" fontId="0" fillId="3" borderId="0" xfId="2" applyFont="1" applyFill="1" applyAlignment="1">
      <alignment horizontal="right" vertical="center" wrapText="1"/>
    </xf>
    <xf numFmtId="3" fontId="0" fillId="3" borderId="0" xfId="2" applyNumberFormat="1" applyFont="1" applyFill="1" applyAlignment="1">
      <alignment horizontal="right" vertical="center" wrapText="1"/>
    </xf>
    <xf numFmtId="3" fontId="0" fillId="3" borderId="0" xfId="0" applyNumberFormat="1" applyFill="1" applyAlignment="1">
      <alignment vertical="center" wrapText="1"/>
    </xf>
    <xf numFmtId="4" fontId="0" fillId="3" borderId="0" xfId="0" applyNumberFormat="1" applyFill="1" applyAlignment="1">
      <alignment vertical="center" wrapText="1"/>
    </xf>
    <xf numFmtId="0" fontId="0" fillId="3" borderId="0" xfId="0" applyFill="1" applyAlignment="1">
      <alignment horizontal="left" vertical="center" wrapText="1"/>
    </xf>
    <xf numFmtId="4" fontId="0" fillId="3" borderId="0" xfId="2" applyNumberFormat="1" applyFont="1" applyFill="1" applyAlignment="1">
      <alignment horizontal="right" vertical="center" wrapText="1"/>
    </xf>
    <xf numFmtId="3" fontId="4" fillId="3" borderId="0" xfId="0" applyNumberFormat="1" applyFont="1" applyFill="1" applyAlignment="1">
      <alignment horizontal="right" vertical="center" wrapText="1"/>
    </xf>
    <xf numFmtId="0" fontId="4" fillId="3" borderId="0" xfId="0" applyFont="1" applyFill="1" applyAlignment="1">
      <alignment horizontal="center" vertical="center" wrapText="1"/>
    </xf>
    <xf numFmtId="43" fontId="4" fillId="3" borderId="0" xfId="2" applyFont="1" applyFill="1" applyAlignment="1">
      <alignment horizontal="left" vertical="center" wrapText="1"/>
    </xf>
    <xf numFmtId="166" fontId="0" fillId="3" borderId="1" xfId="2" applyNumberFormat="1" applyFont="1" applyFill="1" applyBorder="1" applyAlignment="1">
      <alignment vertical="center" wrapText="1"/>
    </xf>
    <xf numFmtId="3" fontId="6" fillId="3" borderId="1" xfId="0" applyNumberFormat="1" applyFont="1" applyFill="1" applyBorder="1" applyAlignment="1">
      <alignment horizontal="right" vertical="center" wrapText="1"/>
    </xf>
    <xf numFmtId="0" fontId="6" fillId="3" borderId="1" xfId="0" applyFont="1" applyFill="1" applyBorder="1" applyAlignment="1">
      <alignment horizontal="left" vertical="center" wrapText="1"/>
    </xf>
    <xf numFmtId="0" fontId="2" fillId="0" borderId="7" xfId="0" applyFont="1" applyBorder="1" applyAlignment="1">
      <alignment vertical="center" wrapText="1"/>
    </xf>
    <xf numFmtId="0" fontId="0" fillId="0" borderId="7" xfId="0" applyBorder="1" applyAlignment="1">
      <alignment vertical="center" wrapText="1"/>
    </xf>
    <xf numFmtId="0" fontId="0" fillId="0" borderId="6" xfId="0" applyBorder="1" applyAlignment="1">
      <alignment vertical="center" wrapText="1"/>
    </xf>
    <xf numFmtId="0" fontId="2" fillId="0" borderId="0" xfId="0" applyFont="1" applyAlignment="1">
      <alignment vertical="center"/>
    </xf>
    <xf numFmtId="3" fontId="6" fillId="3" borderId="1" xfId="0" applyNumberFormat="1" applyFont="1" applyFill="1" applyBorder="1" applyAlignment="1">
      <alignment horizontal="left" vertical="center" wrapText="1"/>
    </xf>
    <xf numFmtId="3" fontId="2" fillId="3" borderId="7" xfId="0" applyNumberFormat="1" applyFont="1" applyFill="1" applyBorder="1" applyAlignment="1">
      <alignment horizontal="right" vertical="center" wrapText="1"/>
    </xf>
    <xf numFmtId="3" fontId="0" fillId="3" borderId="7" xfId="1" applyNumberFormat="1" applyFont="1" applyFill="1" applyBorder="1" applyAlignment="1">
      <alignment horizontal="right" vertical="center" wrapText="1"/>
    </xf>
    <xf numFmtId="3" fontId="0" fillId="3" borderId="7" xfId="0" applyNumberFormat="1" applyFill="1" applyBorder="1" applyAlignment="1">
      <alignment horizontal="right" vertical="center" wrapText="1"/>
    </xf>
    <xf numFmtId="3" fontId="0" fillId="3" borderId="7" xfId="2" applyNumberFormat="1" applyFont="1" applyFill="1" applyBorder="1" applyAlignment="1">
      <alignment horizontal="right" vertical="center" wrapText="1"/>
    </xf>
    <xf numFmtId="0" fontId="0" fillId="3" borderId="7" xfId="0" applyFill="1" applyBorder="1" applyAlignment="1">
      <alignment vertical="center" wrapText="1"/>
    </xf>
    <xf numFmtId="3" fontId="6" fillId="3" borderId="7" xfId="2" applyNumberFormat="1" applyFont="1" applyFill="1" applyBorder="1" applyAlignment="1">
      <alignment horizontal="right" vertical="center" wrapText="1"/>
    </xf>
    <xf numFmtId="3" fontId="0" fillId="3" borderId="6" xfId="0" applyNumberFormat="1" applyFill="1" applyBorder="1" applyAlignment="1">
      <alignment horizontal="right" vertical="center" wrapText="1"/>
    </xf>
    <xf numFmtId="43" fontId="2" fillId="3" borderId="7" xfId="2" applyFont="1" applyFill="1" applyBorder="1" applyAlignment="1">
      <alignment horizontal="right" vertical="center" wrapText="1"/>
    </xf>
    <xf numFmtId="3" fontId="2" fillId="3" borderId="7" xfId="2" applyNumberFormat="1" applyFont="1" applyFill="1" applyBorder="1" applyAlignment="1">
      <alignment horizontal="right" vertical="center" wrapText="1"/>
    </xf>
    <xf numFmtId="43" fontId="0" fillId="3" borderId="7" xfId="2" applyFont="1" applyFill="1" applyBorder="1" applyAlignment="1">
      <alignment vertical="center" wrapText="1"/>
    </xf>
    <xf numFmtId="165" fontId="0" fillId="3" borderId="1" xfId="0" applyNumberFormat="1" applyFill="1" applyBorder="1" applyAlignment="1">
      <alignment vertical="center" wrapText="1"/>
    </xf>
    <xf numFmtId="165" fontId="4" fillId="3" borderId="1" xfId="0" applyNumberFormat="1" applyFont="1" applyFill="1" applyBorder="1" applyAlignment="1">
      <alignment horizontal="left" vertical="center" wrapText="1"/>
    </xf>
    <xf numFmtId="166" fontId="6" fillId="3" borderId="1" xfId="2" applyNumberFormat="1" applyFont="1" applyFill="1" applyBorder="1" applyAlignment="1">
      <alignment vertical="center" wrapText="1"/>
    </xf>
    <xf numFmtId="166" fontId="6" fillId="3" borderId="1" xfId="2" applyNumberFormat="1" applyFont="1" applyFill="1" applyBorder="1" applyAlignment="1">
      <alignment horizontal="left" vertical="center" wrapText="1"/>
    </xf>
    <xf numFmtId="165" fontId="0" fillId="0" borderId="7" xfId="0" applyNumberFormat="1" applyBorder="1" applyAlignment="1">
      <alignment vertical="center" wrapText="1"/>
    </xf>
    <xf numFmtId="0" fontId="0" fillId="0" borderId="1" xfId="0" applyBorder="1" applyAlignment="1">
      <alignment wrapText="1"/>
    </xf>
    <xf numFmtId="0" fontId="24" fillId="0" borderId="7" xfId="0" applyFont="1" applyBorder="1" applyAlignment="1">
      <alignment vertical="center" wrapText="1"/>
    </xf>
    <xf numFmtId="0" fontId="23" fillId="0" borderId="7" xfId="0" applyFont="1" applyBorder="1" applyAlignment="1">
      <alignment vertical="center"/>
    </xf>
    <xf numFmtId="9" fontId="0" fillId="0" borderId="9" xfId="1" applyFont="1" applyBorder="1" applyAlignment="1">
      <alignment vertical="center" wrapText="1"/>
    </xf>
    <xf numFmtId="0" fontId="6" fillId="0" borderId="7" xfId="0" applyFont="1" applyBorder="1" applyAlignment="1">
      <alignment vertical="center" wrapText="1"/>
    </xf>
    <xf numFmtId="43" fontId="0" fillId="0" borderId="0" xfId="2" applyFont="1" applyFill="1" applyBorder="1" applyAlignment="1">
      <alignment vertical="center" wrapText="1"/>
    </xf>
    <xf numFmtId="3" fontId="30" fillId="0" borderId="0" xfId="0" applyNumberFormat="1" applyFont="1" applyAlignment="1">
      <alignment horizontal="right" vertical="center" wrapText="1"/>
    </xf>
    <xf numFmtId="171" fontId="0" fillId="0" borderId="0" xfId="2" applyNumberFormat="1" applyFont="1" applyBorder="1" applyAlignment="1">
      <alignment horizontal="center" vertical="center" wrapText="1"/>
    </xf>
    <xf numFmtId="43" fontId="13" fillId="5" borderId="1" xfId="2" applyFont="1" applyFill="1" applyBorder="1" applyAlignment="1">
      <alignment horizontal="center" vertical="center" wrapText="1"/>
    </xf>
    <xf numFmtId="43" fontId="4" fillId="10" borderId="1" xfId="2" applyFont="1" applyFill="1" applyBorder="1" applyAlignment="1">
      <alignment vertical="center" wrapText="1"/>
    </xf>
    <xf numFmtId="43" fontId="12" fillId="3" borderId="1" xfId="2" applyFont="1" applyFill="1" applyBorder="1" applyAlignment="1">
      <alignment horizontal="left" vertical="center" wrapText="1"/>
    </xf>
    <xf numFmtId="4" fontId="6" fillId="3" borderId="1" xfId="2" applyNumberFormat="1" applyFont="1" applyFill="1" applyBorder="1" applyAlignment="1">
      <alignment horizontal="right" vertical="center" wrapText="1"/>
    </xf>
    <xf numFmtId="43" fontId="0" fillId="3" borderId="1" xfId="2" applyFont="1" applyFill="1" applyBorder="1" applyAlignment="1">
      <alignment horizontal="left" vertical="center" wrapText="1"/>
    </xf>
    <xf numFmtId="43" fontId="4" fillId="3" borderId="1" xfId="2" applyFont="1" applyFill="1"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43" fontId="16" fillId="10" borderId="1" xfId="2" applyFont="1" applyFill="1" applyBorder="1" applyAlignment="1">
      <alignment horizontal="left" vertical="center" wrapText="1"/>
    </xf>
    <xf numFmtId="43" fontId="0" fillId="0" borderId="5" xfId="1" applyNumberFormat="1" applyFont="1" applyBorder="1" applyAlignment="1">
      <alignment horizontal="right" vertical="center" wrapText="1"/>
    </xf>
    <xf numFmtId="43" fontId="0" fillId="0" borderId="6" xfId="1" applyNumberFormat="1" applyFont="1" applyBorder="1" applyAlignment="1">
      <alignment horizontal="right" vertical="center" wrapText="1"/>
    </xf>
    <xf numFmtId="9" fontId="0" fillId="0" borderId="5" xfId="1" applyFont="1" applyBorder="1" applyAlignment="1">
      <alignment horizontal="left" vertical="center" wrapText="1"/>
    </xf>
    <xf numFmtId="9" fontId="0" fillId="0" borderId="6" xfId="1" applyFont="1" applyBorder="1" applyAlignment="1">
      <alignment horizontal="left" vertical="center" wrapText="1"/>
    </xf>
    <xf numFmtId="9" fontId="0" fillId="0" borderId="5" xfId="1" applyFont="1" applyBorder="1" applyAlignment="1">
      <alignment horizontal="center" vertical="center" wrapText="1"/>
    </xf>
    <xf numFmtId="9" fontId="0" fillId="0" borderId="7" xfId="1" applyFont="1" applyBorder="1" applyAlignment="1">
      <alignment horizontal="center" vertical="center" wrapText="1"/>
    </xf>
    <xf numFmtId="9" fontId="0" fillId="0" borderId="6" xfId="1" applyFont="1" applyBorder="1" applyAlignment="1">
      <alignment horizontal="center" vertical="center" wrapText="1"/>
    </xf>
    <xf numFmtId="9" fontId="6" fillId="10" borderId="5" xfId="1" applyFont="1" applyFill="1" applyBorder="1" applyAlignment="1">
      <alignment horizontal="center" vertical="center" wrapText="1"/>
    </xf>
    <xf numFmtId="9" fontId="6" fillId="10" borderId="6" xfId="1" applyFont="1" applyFill="1" applyBorder="1" applyAlignment="1">
      <alignment horizontal="center" vertical="center" wrapText="1"/>
    </xf>
    <xf numFmtId="4" fontId="6" fillId="0" borderId="5" xfId="1" applyNumberFormat="1" applyFont="1" applyBorder="1" applyAlignment="1">
      <alignment horizontal="right" vertical="center" wrapText="1"/>
    </xf>
    <xf numFmtId="4" fontId="6" fillId="0" borderId="7" xfId="1" applyNumberFormat="1" applyFont="1" applyBorder="1" applyAlignment="1">
      <alignment horizontal="right" vertical="center" wrapText="1"/>
    </xf>
    <xf numFmtId="4" fontId="6" fillId="0" borderId="6" xfId="1" applyNumberFormat="1" applyFont="1" applyBorder="1" applyAlignment="1">
      <alignment horizontal="right" vertical="center" wrapText="1"/>
    </xf>
    <xf numFmtId="9" fontId="6" fillId="0" borderId="5" xfId="1" applyFont="1" applyBorder="1" applyAlignment="1">
      <alignment horizontal="left" vertical="center" wrapText="1"/>
    </xf>
    <xf numFmtId="9" fontId="6" fillId="0" borderId="7" xfId="1" applyFont="1" applyBorder="1" applyAlignment="1">
      <alignment horizontal="left" vertical="center" wrapText="1"/>
    </xf>
    <xf numFmtId="9" fontId="6" fillId="0" borderId="6" xfId="1" applyFont="1" applyBorder="1" applyAlignment="1">
      <alignment horizontal="left" vertical="center" wrapText="1"/>
    </xf>
    <xf numFmtId="43" fontId="6" fillId="10" borderId="5" xfId="2" applyFont="1" applyFill="1" applyBorder="1" applyAlignment="1">
      <alignment horizontal="center" vertical="center" wrapText="1"/>
    </xf>
    <xf numFmtId="43" fontId="6" fillId="10" borderId="6" xfId="2" applyFont="1" applyFill="1" applyBorder="1" applyAlignment="1">
      <alignment horizontal="center" vertical="center" wrapText="1"/>
    </xf>
    <xf numFmtId="4" fontId="4" fillId="0" borderId="5" xfId="1" applyNumberFormat="1" applyFont="1" applyBorder="1" applyAlignment="1">
      <alignment horizontal="right" vertical="center" wrapText="1"/>
    </xf>
    <xf numFmtId="4" fontId="4" fillId="0" borderId="7" xfId="1" applyNumberFormat="1" applyFont="1" applyBorder="1" applyAlignment="1">
      <alignment horizontal="right" vertical="center" wrapText="1"/>
    </xf>
    <xf numFmtId="9" fontId="4" fillId="0" borderId="5" xfId="1" applyFont="1" applyBorder="1" applyAlignment="1">
      <alignment horizontal="left" vertical="center" wrapText="1"/>
    </xf>
    <xf numFmtId="9" fontId="4" fillId="0" borderId="7" xfId="1" applyFont="1" applyBorder="1" applyAlignment="1">
      <alignment horizontal="left" vertical="center" wrapText="1"/>
    </xf>
    <xf numFmtId="9" fontId="4" fillId="3" borderId="5" xfId="1" applyFont="1" applyFill="1" applyBorder="1" applyAlignment="1">
      <alignment horizontal="center" vertical="center" wrapText="1"/>
    </xf>
    <xf numFmtId="9" fontId="4" fillId="3" borderId="7" xfId="1" applyFont="1" applyFill="1" applyBorder="1" applyAlignment="1">
      <alignment horizontal="center" vertical="center" wrapText="1"/>
    </xf>
    <xf numFmtId="9" fontId="4" fillId="3" borderId="6" xfId="1" applyFont="1" applyFill="1" applyBorder="1" applyAlignment="1">
      <alignment horizontal="center" vertical="center" wrapText="1"/>
    </xf>
    <xf numFmtId="43" fontId="4" fillId="10" borderId="5" xfId="2" applyFont="1" applyFill="1" applyBorder="1" applyAlignment="1">
      <alignment horizontal="right" vertical="center" wrapText="1"/>
    </xf>
    <xf numFmtId="43" fontId="4" fillId="10" borderId="6" xfId="2" applyFont="1" applyFill="1" applyBorder="1" applyAlignment="1">
      <alignment horizontal="right" vertical="center" wrapText="1"/>
    </xf>
    <xf numFmtId="0" fontId="0" fillId="8" borderId="5" xfId="0" applyFill="1" applyBorder="1" applyAlignment="1">
      <alignment horizontal="center" vertical="center" wrapText="1"/>
    </xf>
    <xf numFmtId="0" fontId="0" fillId="8" borderId="6" xfId="0" applyFill="1" applyBorder="1" applyAlignment="1">
      <alignment horizontal="center" vertical="center" wrapText="1"/>
    </xf>
    <xf numFmtId="0" fontId="0" fillId="10" borderId="5" xfId="0" applyFill="1" applyBorder="1" applyAlignment="1">
      <alignment horizontal="left" vertical="center" wrapText="1"/>
    </xf>
    <xf numFmtId="0" fontId="0" fillId="10" borderId="6" xfId="0" applyFill="1" applyBorder="1" applyAlignment="1">
      <alignment horizontal="left" vertical="center" wrapText="1"/>
    </xf>
    <xf numFmtId="43" fontId="0" fillId="10" borderId="5" xfId="2" applyFont="1" applyFill="1" applyBorder="1" applyAlignment="1">
      <alignment horizontal="right" vertical="center" wrapText="1"/>
    </xf>
    <xf numFmtId="43" fontId="0" fillId="10" borderId="6" xfId="2" applyFont="1" applyFill="1" applyBorder="1" applyAlignment="1">
      <alignment horizontal="right" vertical="center" wrapText="1"/>
    </xf>
    <xf numFmtId="43" fontId="0" fillId="0" borderId="5" xfId="2" applyFont="1" applyBorder="1" applyAlignment="1">
      <alignment horizontal="right" vertical="center" wrapText="1"/>
    </xf>
    <xf numFmtId="43" fontId="0" fillId="0" borderId="6" xfId="2" applyFont="1" applyBorder="1" applyAlignment="1">
      <alignment horizontal="right" vertical="center" wrapText="1"/>
    </xf>
    <xf numFmtId="43" fontId="0" fillId="0" borderId="7" xfId="2" applyFont="1" applyBorder="1" applyAlignment="1">
      <alignment horizontal="right" vertical="center" wrapText="1"/>
    </xf>
    <xf numFmtId="0" fontId="4" fillId="3" borderId="5"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6" xfId="0" applyFont="1" applyFill="1" applyBorder="1" applyAlignment="1">
      <alignment horizontal="left" vertical="center" wrapText="1"/>
    </xf>
    <xf numFmtId="0" fontId="0" fillId="8" borderId="7" xfId="0" applyFill="1" applyBorder="1" applyAlignment="1">
      <alignment horizontal="center" vertical="center" wrapText="1"/>
    </xf>
    <xf numFmtId="0" fontId="0" fillId="8" borderId="5" xfId="0" applyFill="1" applyBorder="1" applyAlignment="1">
      <alignment horizontal="center" vertical="center"/>
    </xf>
    <xf numFmtId="0" fontId="0" fillId="8" borderId="6" xfId="0" applyFill="1" applyBorder="1" applyAlignment="1">
      <alignment horizontal="center" vertical="center"/>
    </xf>
    <xf numFmtId="49" fontId="4" fillId="8" borderId="5" xfId="0" applyNumberFormat="1" applyFont="1" applyFill="1" applyBorder="1" applyAlignment="1">
      <alignment horizontal="center" vertical="center" wrapText="1"/>
    </xf>
    <xf numFmtId="49" fontId="4" fillId="8" borderId="7" xfId="0" applyNumberFormat="1" applyFont="1" applyFill="1" applyBorder="1" applyAlignment="1">
      <alignment horizontal="center" vertical="center" wrapText="1"/>
    </xf>
    <xf numFmtId="49" fontId="4" fillId="8" borderId="6" xfId="0" applyNumberFormat="1" applyFont="1" applyFill="1" applyBorder="1" applyAlignment="1">
      <alignment horizontal="center" vertical="center" wrapText="1"/>
    </xf>
    <xf numFmtId="0" fontId="0" fillId="3" borderId="5" xfId="0" applyFill="1" applyBorder="1" applyAlignment="1">
      <alignment horizontal="left" vertical="center" wrapText="1"/>
    </xf>
    <xf numFmtId="0" fontId="0" fillId="3" borderId="7" xfId="0" applyFill="1" applyBorder="1" applyAlignment="1">
      <alignment horizontal="left" vertical="center" wrapText="1"/>
    </xf>
    <xf numFmtId="0" fontId="0" fillId="3" borderId="6" xfId="0" applyFill="1" applyBorder="1" applyAlignment="1">
      <alignment horizontal="left" vertical="center" wrapText="1"/>
    </xf>
    <xf numFmtId="43" fontId="0" fillId="0" borderId="5" xfId="2" applyFont="1" applyBorder="1" applyAlignment="1">
      <alignment horizontal="center" vertical="center" wrapText="1"/>
    </xf>
    <xf numFmtId="43" fontId="0" fillId="0" borderId="7" xfId="2" applyFont="1" applyBorder="1" applyAlignment="1">
      <alignment horizontal="center" vertical="center" wrapText="1"/>
    </xf>
    <xf numFmtId="43" fontId="0" fillId="0" borderId="6" xfId="2" applyFont="1" applyBorder="1" applyAlignment="1">
      <alignment horizontal="center"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43" fontId="26" fillId="0" borderId="5" xfId="2" applyFont="1" applyBorder="1" applyAlignment="1">
      <alignment horizontal="center" vertical="center" wrapText="1"/>
    </xf>
    <xf numFmtId="43" fontId="26" fillId="0" borderId="7" xfId="2" applyFont="1" applyBorder="1" applyAlignment="1">
      <alignment horizontal="center" vertical="center" wrapText="1"/>
    </xf>
    <xf numFmtId="43" fontId="26" fillId="0" borderId="6" xfId="2" applyFont="1" applyBorder="1" applyAlignment="1">
      <alignment horizontal="center" vertical="center" wrapText="1"/>
    </xf>
    <xf numFmtId="43" fontId="26" fillId="0" borderId="5" xfId="2" applyFont="1" applyBorder="1" applyAlignment="1">
      <alignment horizontal="left" vertical="center" wrapText="1"/>
    </xf>
    <xf numFmtId="43" fontId="26" fillId="0" borderId="7" xfId="2" applyFont="1" applyBorder="1" applyAlignment="1">
      <alignment horizontal="left" vertical="center" wrapText="1"/>
    </xf>
    <xf numFmtId="43" fontId="26" fillId="0" borderId="6" xfId="2" applyFont="1" applyBorder="1" applyAlignment="1">
      <alignment horizontal="left" vertical="center" wrapText="1"/>
    </xf>
    <xf numFmtId="43" fontId="12" fillId="10" borderId="5" xfId="2" applyFont="1" applyFill="1" applyBorder="1" applyAlignment="1">
      <alignment horizontal="left" vertical="center" wrapText="1"/>
    </xf>
    <xf numFmtId="43" fontId="12" fillId="10" borderId="6" xfId="2" applyFont="1" applyFill="1" applyBorder="1" applyAlignment="1">
      <alignment horizontal="left" vertical="center" wrapText="1"/>
    </xf>
    <xf numFmtId="4" fontId="12" fillId="10" borderId="5" xfId="2" applyNumberFormat="1" applyFont="1" applyFill="1" applyBorder="1" applyAlignment="1">
      <alignment horizontal="right" vertical="center" wrapText="1"/>
    </xf>
    <xf numFmtId="4" fontId="12" fillId="10" borderId="6" xfId="2" applyNumberFormat="1" applyFont="1" applyFill="1" applyBorder="1" applyAlignment="1">
      <alignment horizontal="right" vertical="center" wrapText="1"/>
    </xf>
    <xf numFmtId="43" fontId="6" fillId="0" borderId="10" xfId="2" applyFont="1" applyBorder="1" applyAlignment="1">
      <alignment horizontal="center" vertical="center" wrapText="1"/>
    </xf>
    <xf numFmtId="43" fontId="6" fillId="0" borderId="11" xfId="2" applyFont="1" applyBorder="1" applyAlignment="1">
      <alignment horizontal="center" vertical="center" wrapText="1"/>
    </xf>
    <xf numFmtId="43" fontId="0" fillId="0" borderId="1" xfId="2" applyFont="1" applyBorder="1" applyAlignment="1">
      <alignment horizontal="left" vertical="center" wrapText="1"/>
    </xf>
    <xf numFmtId="43" fontId="4" fillId="0" borderId="5" xfId="2" applyFont="1" applyBorder="1" applyAlignment="1">
      <alignment horizontal="center" vertical="center" wrapText="1"/>
    </xf>
    <xf numFmtId="43" fontId="4" fillId="0" borderId="7" xfId="2" applyFont="1" applyBorder="1" applyAlignment="1">
      <alignment horizontal="center" vertical="center" wrapText="1"/>
    </xf>
    <xf numFmtId="43" fontId="4" fillId="0" borderId="6" xfId="2" applyFont="1" applyBorder="1" applyAlignment="1">
      <alignment horizontal="center" vertical="center" wrapText="1"/>
    </xf>
    <xf numFmtId="43" fontId="4" fillId="0" borderId="5" xfId="2" applyFont="1" applyBorder="1" applyAlignment="1">
      <alignment horizontal="left" vertical="center" wrapText="1"/>
    </xf>
    <xf numFmtId="43" fontId="4" fillId="0" borderId="7" xfId="2" applyFont="1" applyBorder="1" applyAlignment="1">
      <alignment horizontal="left" vertical="center" wrapText="1"/>
    </xf>
    <xf numFmtId="43" fontId="4" fillId="0" borderId="6" xfId="2" applyFont="1" applyBorder="1" applyAlignment="1">
      <alignment horizontal="left" vertical="center" wrapText="1"/>
    </xf>
    <xf numFmtId="4" fontId="4" fillId="3" borderId="1" xfId="2" applyNumberFormat="1" applyFont="1" applyFill="1" applyBorder="1" applyAlignment="1">
      <alignment horizontal="left" vertical="center" wrapText="1"/>
    </xf>
    <xf numFmtId="9" fontId="4" fillId="0" borderId="5" xfId="1" applyFont="1" applyBorder="1" applyAlignment="1">
      <alignment horizontal="center" vertical="center" wrapText="1"/>
    </xf>
    <xf numFmtId="9" fontId="4" fillId="0" borderId="6" xfId="1" applyFont="1" applyBorder="1" applyAlignment="1">
      <alignment horizontal="center" vertical="center" wrapText="1"/>
    </xf>
    <xf numFmtId="4" fontId="4" fillId="3" borderId="5" xfId="2" applyNumberFormat="1" applyFont="1" applyFill="1" applyBorder="1" applyAlignment="1">
      <alignment horizontal="right" vertical="center" wrapText="1"/>
    </xf>
    <xf numFmtId="4" fontId="4" fillId="3" borderId="6" xfId="2" applyNumberFormat="1" applyFont="1" applyFill="1" applyBorder="1" applyAlignment="1">
      <alignment horizontal="right" vertical="center" wrapText="1"/>
    </xf>
    <xf numFmtId="4" fontId="4" fillId="3" borderId="5" xfId="2" applyNumberFormat="1" applyFont="1" applyFill="1" applyBorder="1" applyAlignment="1">
      <alignment horizontal="left" vertical="center" wrapText="1"/>
    </xf>
    <xf numFmtId="4" fontId="4" fillId="3" borderId="6" xfId="2" applyNumberFormat="1" applyFont="1" applyFill="1" applyBorder="1" applyAlignment="1">
      <alignment horizontal="left" vertical="center" wrapText="1"/>
    </xf>
    <xf numFmtId="49" fontId="4" fillId="3" borderId="1" xfId="0" applyNumberFormat="1" applyFont="1" applyFill="1" applyBorder="1" applyAlignment="1">
      <alignment horizontal="left" vertical="center" wrapText="1"/>
    </xf>
    <xf numFmtId="49" fontId="4" fillId="3" borderId="1" xfId="0" applyNumberFormat="1"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9" fontId="4" fillId="0" borderId="1" xfId="1" applyFont="1" applyBorder="1" applyAlignment="1">
      <alignment horizontal="center" vertical="center" wrapText="1"/>
    </xf>
    <xf numFmtId="4" fontId="4" fillId="3" borderId="1" xfId="2" applyNumberFormat="1" applyFont="1" applyFill="1" applyBorder="1" applyAlignment="1">
      <alignment horizontal="right" vertical="center" wrapText="1"/>
    </xf>
    <xf numFmtId="43" fontId="0" fillId="0" borderId="5" xfId="2" applyFont="1" applyBorder="1" applyAlignment="1">
      <alignment horizontal="left" vertical="center" wrapText="1"/>
    </xf>
    <xf numFmtId="43" fontId="0" fillId="0" borderId="7" xfId="2" applyFont="1" applyBorder="1" applyAlignment="1">
      <alignment horizontal="left" vertical="center" wrapText="1"/>
    </xf>
    <xf numFmtId="43" fontId="0" fillId="0" borderId="6" xfId="2" applyFont="1" applyBorder="1" applyAlignment="1">
      <alignment horizontal="left" vertical="center" wrapText="1"/>
    </xf>
    <xf numFmtId="4" fontId="12" fillId="10" borderId="5" xfId="2" applyNumberFormat="1" applyFont="1" applyFill="1" applyBorder="1" applyAlignment="1">
      <alignment horizontal="left" vertical="center" wrapText="1"/>
    </xf>
    <xf numFmtId="4" fontId="12" fillId="10" borderId="6" xfId="2" applyNumberFormat="1" applyFont="1" applyFill="1" applyBorder="1" applyAlignment="1">
      <alignment horizontal="left" vertical="center" wrapText="1"/>
    </xf>
    <xf numFmtId="4" fontId="12" fillId="3" borderId="5" xfId="1" applyNumberFormat="1" applyFont="1" applyFill="1" applyBorder="1" applyAlignment="1">
      <alignment horizontal="right" vertical="center" wrapText="1"/>
    </xf>
    <xf numFmtId="4" fontId="12" fillId="3" borderId="6" xfId="1" applyNumberFormat="1" applyFont="1" applyFill="1" applyBorder="1" applyAlignment="1">
      <alignment horizontal="right" vertical="center" wrapText="1"/>
    </xf>
    <xf numFmtId="4" fontId="12" fillId="3" borderId="5" xfId="1" applyNumberFormat="1" applyFont="1" applyFill="1" applyBorder="1" applyAlignment="1">
      <alignment horizontal="left" vertical="center" wrapText="1"/>
    </xf>
    <xf numFmtId="4" fontId="12" fillId="3" borderId="6" xfId="1" applyNumberFormat="1" applyFont="1" applyFill="1" applyBorder="1" applyAlignment="1">
      <alignment horizontal="left" vertical="center" wrapText="1"/>
    </xf>
    <xf numFmtId="4" fontId="6" fillId="0" borderId="5" xfId="1" applyNumberFormat="1" applyFont="1" applyBorder="1" applyAlignment="1">
      <alignment horizontal="left" vertical="center" wrapText="1"/>
    </xf>
    <xf numFmtId="4" fontId="6" fillId="0" borderId="7" xfId="1" applyNumberFormat="1" applyFont="1" applyBorder="1" applyAlignment="1">
      <alignment horizontal="left" vertical="center" wrapText="1"/>
    </xf>
    <xf numFmtId="4" fontId="6" fillId="0" borderId="6" xfId="1" applyNumberFormat="1" applyFont="1" applyBorder="1" applyAlignment="1">
      <alignment horizontal="left" vertical="center" wrapText="1"/>
    </xf>
    <xf numFmtId="4" fontId="12" fillId="10" borderId="5" xfId="1" applyNumberFormat="1" applyFont="1" applyFill="1" applyBorder="1" applyAlignment="1">
      <alignment horizontal="right" vertical="center" wrapText="1"/>
    </xf>
    <xf numFmtId="4" fontId="12" fillId="10" borderId="6" xfId="1" applyNumberFormat="1" applyFont="1" applyFill="1" applyBorder="1" applyAlignment="1">
      <alignment horizontal="right" vertical="center" wrapText="1"/>
    </xf>
    <xf numFmtId="4" fontId="12" fillId="10" borderId="5" xfId="1" applyNumberFormat="1" applyFont="1" applyFill="1" applyBorder="1" applyAlignment="1">
      <alignment vertical="center" wrapText="1"/>
    </xf>
    <xf numFmtId="4" fontId="12" fillId="10" borderId="6" xfId="1" applyNumberFormat="1" applyFont="1" applyFill="1" applyBorder="1" applyAlignment="1">
      <alignment vertical="center" wrapText="1"/>
    </xf>
    <xf numFmtId="4" fontId="4" fillId="0" borderId="6" xfId="1" applyNumberFormat="1" applyFont="1" applyBorder="1" applyAlignment="1">
      <alignment horizontal="right" vertical="center" wrapText="1"/>
    </xf>
    <xf numFmtId="4" fontId="4" fillId="0" borderId="5" xfId="1" applyNumberFormat="1" applyFont="1" applyBorder="1" applyAlignment="1">
      <alignment horizontal="left" vertical="center" wrapText="1"/>
    </xf>
    <xf numFmtId="4" fontId="4" fillId="0" borderId="7" xfId="1" applyNumberFormat="1" applyFont="1" applyBorder="1" applyAlignment="1">
      <alignment horizontal="left" vertical="center" wrapText="1"/>
    </xf>
    <xf numFmtId="4" fontId="4" fillId="0" borderId="6" xfId="1" applyNumberFormat="1" applyFont="1" applyBorder="1" applyAlignment="1">
      <alignment horizontal="left" vertical="center" wrapText="1"/>
    </xf>
    <xf numFmtId="9" fontId="6" fillId="0" borderId="5" xfId="1" applyFont="1" applyBorder="1" applyAlignment="1">
      <alignment horizontal="center" vertical="center" wrapText="1"/>
    </xf>
    <xf numFmtId="9" fontId="6" fillId="0" borderId="7" xfId="1" applyFont="1" applyBorder="1" applyAlignment="1">
      <alignment horizontal="center" vertical="center" wrapText="1"/>
    </xf>
    <xf numFmtId="9" fontId="6" fillId="0" borderId="6" xfId="1" applyFont="1" applyBorder="1" applyAlignment="1">
      <alignment horizontal="center" vertical="center" wrapText="1"/>
    </xf>
    <xf numFmtId="3" fontId="6" fillId="3" borderId="5" xfId="0" applyNumberFormat="1" applyFont="1" applyFill="1" applyBorder="1" applyAlignment="1">
      <alignment horizontal="left" vertical="center" wrapText="1"/>
    </xf>
    <xf numFmtId="3" fontId="6" fillId="3" borderId="7" xfId="0" applyNumberFormat="1" applyFont="1" applyFill="1" applyBorder="1" applyAlignment="1">
      <alignment horizontal="left" vertical="center" wrapText="1"/>
    </xf>
    <xf numFmtId="3" fontId="6" fillId="3" borderId="6" xfId="0" applyNumberFormat="1" applyFont="1" applyFill="1" applyBorder="1" applyAlignment="1">
      <alignment horizontal="left" vertical="center" wrapText="1"/>
    </xf>
    <xf numFmtId="0" fontId="19" fillId="0" borderId="1" xfId="0" applyFont="1" applyBorder="1" applyAlignment="1">
      <alignment horizontal="center" vertical="center" wrapText="1"/>
    </xf>
    <xf numFmtId="0" fontId="2" fillId="5" borderId="9"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6" xfId="0" applyFont="1" applyBorder="1" applyAlignment="1">
      <alignment horizontal="center" vertical="center" wrapText="1"/>
    </xf>
    <xf numFmtId="0" fontId="0" fillId="0" borderId="9" xfId="0" applyBorder="1" applyAlignment="1">
      <alignment horizontal="left" vertical="center" wrapText="1"/>
    </xf>
    <xf numFmtId="0" fontId="0" fillId="0" borderId="8" xfId="0" applyBorder="1" applyAlignment="1">
      <alignment horizontal="left" vertical="center" wrapText="1"/>
    </xf>
    <xf numFmtId="0" fontId="0" fillId="6" borderId="5" xfId="0" applyFill="1" applyBorder="1" applyAlignment="1">
      <alignment horizontal="left" vertical="center" wrapText="1"/>
    </xf>
    <xf numFmtId="0" fontId="0" fillId="6" borderId="6" xfId="0" applyFill="1" applyBorder="1" applyAlignment="1">
      <alignment horizontal="left" vertical="center" wrapText="1"/>
    </xf>
    <xf numFmtId="166" fontId="4" fillId="10" borderId="5" xfId="2" applyNumberFormat="1" applyFont="1" applyFill="1" applyBorder="1" applyAlignment="1">
      <alignment horizontal="right" vertical="center" wrapText="1"/>
    </xf>
    <xf numFmtId="166" fontId="4" fillId="10" borderId="6" xfId="2" applyNumberFormat="1" applyFont="1" applyFill="1" applyBorder="1" applyAlignment="1">
      <alignment horizontal="right" vertical="center" wrapText="1"/>
    </xf>
  </cellXfs>
  <cellStyles count="8">
    <cellStyle name="Comma" xfId="2" builtinId="3"/>
    <cellStyle name="Comma 2" xfId="4" xr:uid="{90C4BC07-778C-469D-B0DB-EAF2EFAE6492}"/>
    <cellStyle name="Comma 2 2" xfId="5" xr:uid="{A125F03C-2D23-4D2F-B231-FE0572D8C968}"/>
    <cellStyle name="Comma 3" xfId="6" xr:uid="{495DC6FB-EEAC-4A6A-990D-AC3B48C49F86}"/>
    <cellStyle name="Comma 4" xfId="7" xr:uid="{24B5BE61-95F6-4B29-9E37-54F4EAE010A2}"/>
    <cellStyle name="Normal" xfId="0" builtinId="0"/>
    <cellStyle name="Normal 2" xfId="3" xr:uid="{67AD5E24-3618-4E66-9E43-8D3B399A4469}"/>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lorina.barbu\AppData\Local\Microsoft\Windows\INetCache\Content.Outlook\IXZIWPDU\Cadru%20performanta%20PTJ%20-%20propuneri%20CJ-uri_DRAFT_02%20feb%202026_update%20P9.xlsx" TargetMode="External"/><Relationship Id="rId1" Type="http://schemas.openxmlformats.org/officeDocument/2006/relationships/externalLinkPath" Target="file:///C:\Users\florina.barbu\AppData\Local\Microsoft\Windows\INetCache\Content.Outlook\IXZIWPDU\Cadru%20performanta%20PTJ%20-%20propuneri%20CJ-uri_DRAFT_02%20feb%202026_update%20P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dru initial"/>
      <sheetName val="P1 (GJ)"/>
      <sheetName val="P2 (HD)"/>
      <sheetName val="P3 (DJ)"/>
      <sheetName val="P4 (GL)"/>
      <sheetName val="P5 (PH)"/>
      <sheetName val="P6 (MS)"/>
      <sheetName val="P7 (AT)"/>
      <sheetName val="P8 (STEP)"/>
      <sheetName val="P 9 (Locuinte accesibile)"/>
      <sheetName val="Coduri interventie"/>
      <sheetName val="Cod indicatori"/>
      <sheetName val="SCHEMA PROGRAMULUI"/>
    </sheetNames>
    <sheetDataSet>
      <sheetData sheetId="0" refreshError="1"/>
      <sheetData sheetId="1">
        <row r="5">
          <cell r="M5">
            <v>36908506</v>
          </cell>
        </row>
      </sheetData>
      <sheetData sheetId="2">
        <row r="5">
          <cell r="M5">
            <v>36311935</v>
          </cell>
        </row>
      </sheetData>
      <sheetData sheetId="3">
        <row r="5">
          <cell r="L5">
            <v>29090417</v>
          </cell>
        </row>
      </sheetData>
      <sheetData sheetId="4">
        <row r="5">
          <cell r="M5">
            <v>20472561</v>
          </cell>
        </row>
      </sheetData>
      <sheetData sheetId="5">
        <row r="5">
          <cell r="K5">
            <v>16264216</v>
          </cell>
        </row>
      </sheetData>
      <sheetData sheetId="6">
        <row r="5">
          <cell r="J5">
            <v>18952365</v>
          </cell>
        </row>
      </sheetData>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870A0-B6CB-4EA4-BB37-5673A32058B9}">
  <sheetPr filterMode="1"/>
  <dimension ref="A1:P250"/>
  <sheetViews>
    <sheetView zoomScaleNormal="100" workbookViewId="0">
      <selection activeCell="F256" sqref="F256"/>
    </sheetView>
  </sheetViews>
  <sheetFormatPr defaultRowHeight="15" x14ac:dyDescent="0.25"/>
  <cols>
    <col min="1" max="1" width="33.7109375" style="14" customWidth="1"/>
    <col min="2" max="2" width="10.85546875" style="13" customWidth="1"/>
    <col min="3" max="3" width="23.7109375" style="14" customWidth="1"/>
    <col min="4" max="4" width="15.85546875" style="14" customWidth="1"/>
    <col min="5" max="5" width="15.28515625" style="14" customWidth="1"/>
    <col min="6" max="6" width="16.28515625" style="14" bestFit="1" customWidth="1"/>
    <col min="7" max="7" width="13.85546875" style="14" customWidth="1"/>
    <col min="8" max="8" width="24" style="14" customWidth="1"/>
    <col min="9" max="9" width="14.5703125" style="14" customWidth="1"/>
    <col min="10" max="10" width="14.7109375" style="14" bestFit="1" customWidth="1"/>
    <col min="11" max="11" width="19.7109375" style="14" customWidth="1"/>
    <col min="12" max="12" width="15.85546875" style="15" customWidth="1"/>
    <col min="13" max="15" width="9.140625" style="14"/>
    <col min="16" max="16" width="14.28515625" style="14" bestFit="1" customWidth="1"/>
    <col min="17" max="16384" width="9.140625" style="14"/>
  </cols>
  <sheetData>
    <row r="1" spans="1:12" s="42" customFormat="1" ht="75" x14ac:dyDescent="0.25">
      <c r="A1" s="34" t="s">
        <v>377</v>
      </c>
      <c r="B1" s="34" t="s">
        <v>378</v>
      </c>
      <c r="C1" s="34" t="s">
        <v>379</v>
      </c>
      <c r="D1" s="34" t="s">
        <v>411</v>
      </c>
      <c r="E1" s="34" t="s">
        <v>412</v>
      </c>
      <c r="F1" s="34" t="s">
        <v>413</v>
      </c>
      <c r="G1" s="34" t="s">
        <v>403</v>
      </c>
      <c r="H1" s="34" t="s">
        <v>385</v>
      </c>
      <c r="I1" s="34">
        <v>2024</v>
      </c>
      <c r="J1" s="34">
        <v>2029</v>
      </c>
      <c r="K1" s="34" t="s">
        <v>386</v>
      </c>
      <c r="L1" s="34">
        <v>2029</v>
      </c>
    </row>
    <row r="2" spans="1:12" s="37" customFormat="1" hidden="1" x14ac:dyDescent="0.25">
      <c r="A2" s="31" t="s">
        <v>394</v>
      </c>
      <c r="B2" s="34"/>
      <c r="C2" s="31" t="s">
        <v>410</v>
      </c>
      <c r="D2" s="35">
        <v>2139715532</v>
      </c>
      <c r="E2" s="35">
        <v>391022525</v>
      </c>
      <c r="F2" s="35">
        <v>2530738057</v>
      </c>
      <c r="G2" s="35"/>
      <c r="H2" s="31"/>
      <c r="I2" s="35"/>
      <c r="J2" s="35"/>
      <c r="K2" s="31"/>
      <c r="L2" s="35"/>
    </row>
    <row r="3" spans="1:12" s="37" customFormat="1" hidden="1" x14ac:dyDescent="0.25">
      <c r="A3" s="70" t="s">
        <v>384</v>
      </c>
      <c r="B3" s="71"/>
      <c r="C3" s="70" t="s">
        <v>408</v>
      </c>
      <c r="D3" s="72">
        <v>456624966</v>
      </c>
      <c r="E3" s="72">
        <v>80580877</v>
      </c>
      <c r="F3" s="72">
        <v>537205843</v>
      </c>
      <c r="G3" s="72">
        <v>21.22724007386277</v>
      </c>
      <c r="H3" s="70"/>
      <c r="I3" s="72"/>
      <c r="J3" s="72"/>
      <c r="K3" s="70"/>
      <c r="L3" s="72"/>
    </row>
    <row r="4" spans="1:12" hidden="1" x14ac:dyDescent="0.25">
      <c r="A4" s="73" t="s">
        <v>389</v>
      </c>
      <c r="B4" s="74"/>
      <c r="C4" s="73" t="s">
        <v>409</v>
      </c>
      <c r="D4" s="66">
        <v>456624966</v>
      </c>
      <c r="E4" s="66">
        <v>80580877</v>
      </c>
      <c r="F4" s="66">
        <v>537205843</v>
      </c>
      <c r="G4" s="66"/>
      <c r="H4" s="73"/>
      <c r="I4" s="66"/>
      <c r="J4" s="66"/>
      <c r="K4" s="73"/>
      <c r="L4" s="66"/>
    </row>
    <row r="5" spans="1:12" hidden="1" x14ac:dyDescent="0.25">
      <c r="A5" s="73" t="s">
        <v>401</v>
      </c>
      <c r="B5" s="74"/>
      <c r="C5" s="73"/>
      <c r="D5" s="66">
        <v>0</v>
      </c>
      <c r="E5" s="66">
        <v>0</v>
      </c>
      <c r="F5" s="66">
        <v>0</v>
      </c>
      <c r="G5" s="66"/>
      <c r="H5" s="73"/>
      <c r="I5" s="66"/>
      <c r="J5" s="66"/>
      <c r="K5" s="73"/>
      <c r="L5" s="66"/>
    </row>
    <row r="6" spans="1:12" ht="45" hidden="1" x14ac:dyDescent="0.25">
      <c r="A6" s="73" t="s">
        <v>439</v>
      </c>
      <c r="B6" s="74"/>
      <c r="C6" s="73" t="s">
        <v>402</v>
      </c>
      <c r="D6" s="66">
        <v>264874760</v>
      </c>
      <c r="E6" s="66">
        <v>46742605</v>
      </c>
      <c r="F6" s="66">
        <v>311617365</v>
      </c>
      <c r="G6" s="66">
        <v>58.007069182231511</v>
      </c>
      <c r="H6" s="73"/>
      <c r="I6" s="66"/>
      <c r="J6" s="66"/>
      <c r="K6" s="73"/>
      <c r="L6" s="66"/>
    </row>
    <row r="7" spans="1:12" ht="90" hidden="1" x14ac:dyDescent="0.25">
      <c r="A7" s="73" t="s">
        <v>449</v>
      </c>
      <c r="B7" s="74" t="s">
        <v>64</v>
      </c>
      <c r="C7" s="73" t="s">
        <v>65</v>
      </c>
      <c r="D7" s="66">
        <v>163071365</v>
      </c>
      <c r="E7" s="66">
        <v>28777300</v>
      </c>
      <c r="F7" s="66">
        <v>191848665</v>
      </c>
      <c r="G7" s="66">
        <v>1600000</v>
      </c>
      <c r="H7" s="73" t="s">
        <v>305</v>
      </c>
      <c r="I7" s="66">
        <v>20</v>
      </c>
      <c r="J7" s="66">
        <v>120</v>
      </c>
      <c r="K7" s="73" t="s">
        <v>306</v>
      </c>
      <c r="L7" s="66">
        <v>342</v>
      </c>
    </row>
    <row r="8" spans="1:12" ht="60" hidden="1" x14ac:dyDescent="0.25">
      <c r="A8" s="73"/>
      <c r="B8" s="74"/>
      <c r="C8" s="73"/>
      <c r="D8" s="66"/>
      <c r="E8" s="66"/>
      <c r="F8" s="66"/>
      <c r="G8" s="66"/>
      <c r="H8" s="73" t="s">
        <v>307</v>
      </c>
      <c r="I8" s="66">
        <v>20</v>
      </c>
      <c r="J8" s="66">
        <v>120</v>
      </c>
      <c r="K8" s="73"/>
      <c r="L8" s="66"/>
    </row>
    <row r="9" spans="1:12" ht="135" hidden="1" x14ac:dyDescent="0.25">
      <c r="A9" s="73"/>
      <c r="B9" s="74">
        <v>146</v>
      </c>
      <c r="C9" s="73" t="s">
        <v>268</v>
      </c>
      <c r="D9" s="66">
        <v>498015</v>
      </c>
      <c r="E9" s="66">
        <v>87885</v>
      </c>
      <c r="F9" s="66">
        <v>585900</v>
      </c>
      <c r="G9" s="66">
        <v>3150</v>
      </c>
      <c r="H9" s="73" t="s">
        <v>370</v>
      </c>
      <c r="I9" s="66">
        <v>29</v>
      </c>
      <c r="J9" s="66">
        <v>171</v>
      </c>
      <c r="K9" s="73" t="s">
        <v>361</v>
      </c>
      <c r="L9" s="66">
        <v>171</v>
      </c>
    </row>
    <row r="10" spans="1:12" ht="75" hidden="1" x14ac:dyDescent="0.25">
      <c r="A10" s="73" t="s">
        <v>450</v>
      </c>
      <c r="B10" s="74" t="s">
        <v>64</v>
      </c>
      <c r="C10" s="73" t="s">
        <v>65</v>
      </c>
      <c r="D10" s="66">
        <v>46480380</v>
      </c>
      <c r="E10" s="66">
        <v>8202420</v>
      </c>
      <c r="F10" s="66">
        <v>54682800</v>
      </c>
      <c r="G10" s="66">
        <v>180000</v>
      </c>
      <c r="H10" s="73" t="s">
        <v>305</v>
      </c>
      <c r="I10" s="66">
        <v>76</v>
      </c>
      <c r="J10" s="66">
        <v>304</v>
      </c>
      <c r="K10" s="73" t="s">
        <v>306</v>
      </c>
      <c r="L10" s="66">
        <v>1248</v>
      </c>
    </row>
    <row r="11" spans="1:12" ht="60" hidden="1" x14ac:dyDescent="0.25">
      <c r="A11" s="73"/>
      <c r="B11" s="74"/>
      <c r="C11" s="73"/>
      <c r="D11" s="66"/>
      <c r="E11" s="66"/>
      <c r="F11" s="66"/>
      <c r="G11" s="66"/>
      <c r="H11" s="73" t="s">
        <v>307</v>
      </c>
      <c r="I11" s="66">
        <v>76</v>
      </c>
      <c r="J11" s="66">
        <v>304</v>
      </c>
      <c r="K11" s="73"/>
      <c r="L11" s="66"/>
    </row>
    <row r="12" spans="1:12" ht="60" hidden="1" x14ac:dyDescent="0.25">
      <c r="A12" s="73"/>
      <c r="B12" s="74" t="s">
        <v>72</v>
      </c>
      <c r="C12" s="73" t="s">
        <v>497</v>
      </c>
      <c r="D12" s="66">
        <v>36975000</v>
      </c>
      <c r="E12" s="66">
        <v>6525000</v>
      </c>
      <c r="F12" s="66">
        <v>43500000</v>
      </c>
      <c r="G12" s="66">
        <v>80000</v>
      </c>
      <c r="H12" s="73" t="s">
        <v>305</v>
      </c>
      <c r="I12" s="66">
        <v>136</v>
      </c>
      <c r="J12" s="66">
        <v>544</v>
      </c>
      <c r="K12" s="73" t="s">
        <v>323</v>
      </c>
      <c r="L12" s="66">
        <v>370</v>
      </c>
    </row>
    <row r="13" spans="1:12" ht="75" hidden="1" x14ac:dyDescent="0.25">
      <c r="A13" s="73"/>
      <c r="B13" s="74"/>
      <c r="C13" s="73"/>
      <c r="D13" s="66"/>
      <c r="E13" s="66"/>
      <c r="F13" s="66"/>
      <c r="G13" s="66"/>
      <c r="H13" s="73" t="s">
        <v>307</v>
      </c>
      <c r="I13" s="66">
        <v>136</v>
      </c>
      <c r="J13" s="66">
        <v>544</v>
      </c>
      <c r="K13" s="73" t="s">
        <v>306</v>
      </c>
      <c r="L13" s="66">
        <v>645</v>
      </c>
    </row>
    <row r="14" spans="1:12" ht="60" hidden="1" x14ac:dyDescent="0.25">
      <c r="A14" s="73"/>
      <c r="B14" s="74"/>
      <c r="C14" s="73"/>
      <c r="D14" s="66"/>
      <c r="E14" s="66"/>
      <c r="F14" s="66"/>
      <c r="G14" s="66"/>
      <c r="H14" s="73" t="s">
        <v>312</v>
      </c>
      <c r="I14" s="66">
        <v>136</v>
      </c>
      <c r="J14" s="66">
        <v>544</v>
      </c>
      <c r="K14" s="73"/>
      <c r="L14" s="66"/>
    </row>
    <row r="15" spans="1:12" ht="90" hidden="1" x14ac:dyDescent="0.25">
      <c r="A15" s="73" t="s">
        <v>451</v>
      </c>
      <c r="B15" s="74" t="s">
        <v>62</v>
      </c>
      <c r="C15" s="73" t="s">
        <v>63</v>
      </c>
      <c r="D15" s="66">
        <v>17850000</v>
      </c>
      <c r="E15" s="66">
        <v>3150000</v>
      </c>
      <c r="F15" s="66">
        <v>21000000</v>
      </c>
      <c r="G15" s="66">
        <v>3500000</v>
      </c>
      <c r="H15" s="73" t="s">
        <v>305</v>
      </c>
      <c r="I15" s="66">
        <v>0</v>
      </c>
      <c r="J15" s="66">
        <v>300</v>
      </c>
      <c r="K15" s="73" t="s">
        <v>325</v>
      </c>
      <c r="L15" s="66">
        <v>75</v>
      </c>
    </row>
    <row r="16" spans="1:12" ht="75" hidden="1" x14ac:dyDescent="0.25">
      <c r="A16" s="73"/>
      <c r="B16" s="74"/>
      <c r="C16" s="73"/>
      <c r="D16" s="66"/>
      <c r="E16" s="66"/>
      <c r="F16" s="66"/>
      <c r="G16" s="66"/>
      <c r="H16" s="73"/>
      <c r="I16" s="66"/>
      <c r="J16" s="66"/>
      <c r="K16" s="73" t="s">
        <v>306</v>
      </c>
      <c r="L16" s="66">
        <v>150</v>
      </c>
    </row>
    <row r="17" spans="1:12" ht="60" hidden="1" x14ac:dyDescent="0.25">
      <c r="A17" s="73"/>
      <c r="B17" s="74"/>
      <c r="C17" s="73"/>
      <c r="D17" s="66"/>
      <c r="E17" s="66"/>
      <c r="F17" s="66"/>
      <c r="G17" s="66"/>
      <c r="H17" s="73" t="s">
        <v>310</v>
      </c>
      <c r="I17" s="66">
        <v>0</v>
      </c>
      <c r="J17" s="66">
        <v>300</v>
      </c>
      <c r="K17" s="73"/>
      <c r="L17" s="66"/>
    </row>
    <row r="18" spans="1:12" ht="30" hidden="1" x14ac:dyDescent="0.25">
      <c r="A18" s="73" t="s">
        <v>440</v>
      </c>
      <c r="B18" s="74"/>
      <c r="C18" s="73" t="s">
        <v>406</v>
      </c>
      <c r="D18" s="66">
        <v>53555865</v>
      </c>
      <c r="E18" s="66">
        <v>9451035</v>
      </c>
      <c r="F18" s="66">
        <v>63006900</v>
      </c>
      <c r="G18" s="66">
        <v>11.728632668651001</v>
      </c>
      <c r="H18" s="73"/>
      <c r="I18" s="66"/>
      <c r="J18" s="66"/>
      <c r="K18" s="73"/>
      <c r="L18" s="66"/>
    </row>
    <row r="19" spans="1:12" ht="135" hidden="1" x14ac:dyDescent="0.25">
      <c r="A19" s="73" t="s">
        <v>387</v>
      </c>
      <c r="B19" s="74">
        <v>139</v>
      </c>
      <c r="C19" s="73" t="s">
        <v>261</v>
      </c>
      <c r="D19" s="66">
        <v>15725850</v>
      </c>
      <c r="E19" s="66">
        <v>2775150</v>
      </c>
      <c r="F19" s="66">
        <v>18501000</v>
      </c>
      <c r="G19" s="66">
        <v>2100</v>
      </c>
      <c r="H19" s="73" t="s">
        <v>350</v>
      </c>
      <c r="I19" s="66">
        <v>0</v>
      </c>
      <c r="J19" s="66">
        <v>8810</v>
      </c>
      <c r="K19" s="73" t="s">
        <v>347</v>
      </c>
      <c r="L19" s="66">
        <v>1785</v>
      </c>
    </row>
    <row r="20" spans="1:12" hidden="1" x14ac:dyDescent="0.25">
      <c r="A20" s="73" t="s">
        <v>388</v>
      </c>
      <c r="B20" s="74"/>
      <c r="C20" s="73"/>
      <c r="D20" s="66">
        <v>527765</v>
      </c>
      <c r="E20" s="66">
        <v>93135</v>
      </c>
      <c r="F20" s="66">
        <v>620900</v>
      </c>
      <c r="G20" s="66">
        <v>620900</v>
      </c>
      <c r="H20" s="73"/>
      <c r="I20" s="66"/>
      <c r="J20" s="66">
        <v>1</v>
      </c>
      <c r="K20" s="73"/>
      <c r="L20" s="66"/>
    </row>
    <row r="21" spans="1:12" ht="135" hidden="1" x14ac:dyDescent="0.25">
      <c r="A21" s="73" t="s">
        <v>381</v>
      </c>
      <c r="B21" s="74">
        <v>146</v>
      </c>
      <c r="C21" s="73" t="s">
        <v>268</v>
      </c>
      <c r="D21" s="66">
        <v>37302250</v>
      </c>
      <c r="E21" s="66">
        <v>6582750</v>
      </c>
      <c r="F21" s="66">
        <v>43885000</v>
      </c>
      <c r="G21" s="66">
        <v>6550</v>
      </c>
      <c r="H21" s="73" t="s">
        <v>370</v>
      </c>
      <c r="I21" s="66">
        <v>1675</v>
      </c>
      <c r="J21" s="66">
        <v>6700</v>
      </c>
      <c r="K21" s="73" t="s">
        <v>361</v>
      </c>
      <c r="L21" s="66">
        <v>1407</v>
      </c>
    </row>
    <row r="22" spans="1:12" ht="30" hidden="1" x14ac:dyDescent="0.25">
      <c r="A22" s="73" t="s">
        <v>457</v>
      </c>
      <c r="B22" s="74"/>
      <c r="C22" s="73" t="s">
        <v>405</v>
      </c>
      <c r="D22" s="66">
        <v>112694341</v>
      </c>
      <c r="E22" s="66">
        <v>19887237</v>
      </c>
      <c r="F22" s="66">
        <v>132581578</v>
      </c>
      <c r="G22" s="66">
        <v>24.679846603976717</v>
      </c>
      <c r="H22" s="73"/>
      <c r="I22" s="66"/>
      <c r="J22" s="66"/>
      <c r="K22" s="73"/>
      <c r="L22" s="66"/>
    </row>
    <row r="23" spans="1:12" ht="90" hidden="1" x14ac:dyDescent="0.25">
      <c r="A23" s="73" t="s">
        <v>443</v>
      </c>
      <c r="B23" s="74" t="s">
        <v>116</v>
      </c>
      <c r="C23" s="73" t="s">
        <v>117</v>
      </c>
      <c r="D23" s="66">
        <v>15342500</v>
      </c>
      <c r="E23" s="66">
        <v>2707500</v>
      </c>
      <c r="F23" s="66">
        <v>18050000</v>
      </c>
      <c r="G23" s="66">
        <v>1610000</v>
      </c>
      <c r="H23" s="73" t="s">
        <v>328</v>
      </c>
      <c r="I23" s="66">
        <v>0</v>
      </c>
      <c r="J23" s="66">
        <v>11</v>
      </c>
      <c r="K23" s="73" t="s">
        <v>330</v>
      </c>
      <c r="L23" s="66">
        <v>23100</v>
      </c>
    </row>
    <row r="24" spans="1:12" ht="90" hidden="1" x14ac:dyDescent="0.25">
      <c r="A24" s="73"/>
      <c r="B24" s="74" t="s">
        <v>118</v>
      </c>
      <c r="C24" s="73" t="s">
        <v>119</v>
      </c>
      <c r="D24" s="66">
        <v>15810000</v>
      </c>
      <c r="E24" s="66">
        <v>2790000</v>
      </c>
      <c r="F24" s="66">
        <v>18600000</v>
      </c>
      <c r="G24" s="66">
        <v>930000</v>
      </c>
      <c r="H24" s="73" t="s">
        <v>328</v>
      </c>
      <c r="I24" s="66">
        <v>0</v>
      </c>
      <c r="J24" s="66">
        <v>20</v>
      </c>
      <c r="K24" s="73" t="s">
        <v>330</v>
      </c>
      <c r="L24" s="66">
        <v>22760</v>
      </c>
    </row>
    <row r="25" spans="1:12" ht="90" hidden="1" x14ac:dyDescent="0.25">
      <c r="A25" s="73"/>
      <c r="B25" s="74" t="s">
        <v>126</v>
      </c>
      <c r="C25" s="73" t="s">
        <v>127</v>
      </c>
      <c r="D25" s="66">
        <v>12665000</v>
      </c>
      <c r="E25" s="66">
        <v>2235000</v>
      </c>
      <c r="F25" s="66">
        <v>14900000</v>
      </c>
      <c r="G25" s="66">
        <v>2980000</v>
      </c>
      <c r="H25" s="73" t="s">
        <v>328</v>
      </c>
      <c r="I25" s="66">
        <v>0</v>
      </c>
      <c r="J25" s="66">
        <v>5</v>
      </c>
      <c r="K25" s="73" t="s">
        <v>330</v>
      </c>
      <c r="L25" s="66">
        <v>5685</v>
      </c>
    </row>
    <row r="26" spans="1:12" ht="75" hidden="1" x14ac:dyDescent="0.25">
      <c r="A26" s="73" t="s">
        <v>444</v>
      </c>
      <c r="B26" s="74" t="s">
        <v>186</v>
      </c>
      <c r="C26" s="73" t="s">
        <v>187</v>
      </c>
      <c r="D26" s="66">
        <v>14964930</v>
      </c>
      <c r="E26" s="66">
        <v>2640870</v>
      </c>
      <c r="F26" s="66">
        <v>17605800</v>
      </c>
      <c r="G26" s="66">
        <v>7450</v>
      </c>
      <c r="H26" s="73" t="s">
        <v>344</v>
      </c>
      <c r="I26" s="66">
        <v>0</v>
      </c>
      <c r="J26" s="66">
        <v>2484</v>
      </c>
      <c r="K26" s="73" t="s">
        <v>341</v>
      </c>
      <c r="L26" s="66">
        <v>326119</v>
      </c>
    </row>
    <row r="27" spans="1:12" ht="45" hidden="1" x14ac:dyDescent="0.25">
      <c r="A27" s="73"/>
      <c r="B27" s="74" t="s">
        <v>194</v>
      </c>
      <c r="C27" s="73" t="s">
        <v>195</v>
      </c>
      <c r="D27" s="66">
        <v>765000</v>
      </c>
      <c r="E27" s="66">
        <v>135000</v>
      </c>
      <c r="F27" s="66">
        <v>900000</v>
      </c>
      <c r="G27" s="66"/>
      <c r="H27" s="73" t="s">
        <v>474</v>
      </c>
      <c r="I27" s="66">
        <v>0</v>
      </c>
      <c r="J27" s="66">
        <v>70</v>
      </c>
      <c r="K27" s="73"/>
      <c r="L27" s="66"/>
    </row>
    <row r="28" spans="1:12" ht="90" hidden="1" x14ac:dyDescent="0.25">
      <c r="A28" s="73" t="s">
        <v>445</v>
      </c>
      <c r="B28" s="74" t="s">
        <v>118</v>
      </c>
      <c r="C28" s="73" t="s">
        <v>119</v>
      </c>
      <c r="D28" s="66">
        <v>53146911</v>
      </c>
      <c r="E28" s="66">
        <v>9378867</v>
      </c>
      <c r="F28" s="66">
        <v>62525778</v>
      </c>
      <c r="G28" s="66">
        <v>2084192.6</v>
      </c>
      <c r="H28" s="73" t="s">
        <v>328</v>
      </c>
      <c r="I28" s="66">
        <v>5</v>
      </c>
      <c r="J28" s="66">
        <v>30</v>
      </c>
      <c r="K28" s="73" t="s">
        <v>330</v>
      </c>
      <c r="L28" s="66">
        <v>34140</v>
      </c>
    </row>
    <row r="29" spans="1:12" ht="45" hidden="1" x14ac:dyDescent="0.25">
      <c r="A29" s="73"/>
      <c r="B29" s="74"/>
      <c r="C29" s="73"/>
      <c r="D29" s="66"/>
      <c r="E29" s="66"/>
      <c r="F29" s="66"/>
      <c r="G29" s="66"/>
      <c r="H29" s="73" t="s">
        <v>472</v>
      </c>
      <c r="I29" s="66">
        <v>1000</v>
      </c>
      <c r="J29" s="66">
        <v>6000</v>
      </c>
      <c r="K29" s="73"/>
      <c r="L29" s="66"/>
    </row>
    <row r="30" spans="1:12" ht="75" hidden="1" x14ac:dyDescent="0.25">
      <c r="A30" s="73" t="s">
        <v>441</v>
      </c>
      <c r="B30" s="74"/>
      <c r="C30" s="73" t="s">
        <v>404</v>
      </c>
      <c r="D30" s="66">
        <v>25500000</v>
      </c>
      <c r="E30" s="66">
        <v>4500000</v>
      </c>
      <c r="F30" s="66">
        <v>30000000</v>
      </c>
      <c r="G30" s="66">
        <v>5.5844515451407704</v>
      </c>
      <c r="H30" s="73"/>
      <c r="I30" s="66"/>
      <c r="J30" s="66"/>
      <c r="K30" s="73"/>
      <c r="L30" s="66"/>
    </row>
    <row r="31" spans="1:12" ht="105" hidden="1" x14ac:dyDescent="0.25">
      <c r="A31" s="73" t="s">
        <v>441</v>
      </c>
      <c r="B31" s="74" t="s">
        <v>168</v>
      </c>
      <c r="C31" s="73" t="s">
        <v>169</v>
      </c>
      <c r="D31" s="66">
        <v>25500000</v>
      </c>
      <c r="E31" s="66">
        <v>4500000</v>
      </c>
      <c r="F31" s="66">
        <v>30000000</v>
      </c>
      <c r="G31" s="66">
        <v>407000</v>
      </c>
      <c r="H31" s="73" t="s">
        <v>336</v>
      </c>
      <c r="I31" s="66"/>
      <c r="J31" s="66">
        <v>74</v>
      </c>
      <c r="K31" s="73" t="s">
        <v>339</v>
      </c>
      <c r="L31" s="66">
        <v>37</v>
      </c>
    </row>
    <row r="32" spans="1:12" ht="30" hidden="1" x14ac:dyDescent="0.25">
      <c r="A32" s="73" t="s">
        <v>442</v>
      </c>
      <c r="B32" s="74"/>
      <c r="C32" s="73" t="s">
        <v>407</v>
      </c>
      <c r="D32" s="66">
        <v>0</v>
      </c>
      <c r="E32" s="66">
        <v>0</v>
      </c>
      <c r="F32" s="66">
        <v>0</v>
      </c>
      <c r="G32" s="66">
        <v>0</v>
      </c>
      <c r="H32" s="73"/>
      <c r="I32" s="66"/>
      <c r="J32" s="66"/>
      <c r="K32" s="73"/>
      <c r="L32" s="66"/>
    </row>
    <row r="33" spans="1:12" ht="75" hidden="1" x14ac:dyDescent="0.25">
      <c r="A33" s="73" t="s">
        <v>446</v>
      </c>
      <c r="B33" s="74" t="s">
        <v>174</v>
      </c>
      <c r="C33" s="73" t="s">
        <v>67</v>
      </c>
      <c r="D33" s="66">
        <v>0</v>
      </c>
      <c r="E33" s="66">
        <v>0</v>
      </c>
      <c r="F33" s="66">
        <v>0</v>
      </c>
      <c r="G33" s="66">
        <v>0</v>
      </c>
      <c r="H33" s="73"/>
      <c r="I33" s="66"/>
      <c r="J33" s="66"/>
      <c r="K33" s="73"/>
      <c r="L33" s="66"/>
    </row>
    <row r="34" spans="1:12" ht="75" hidden="1" x14ac:dyDescent="0.25">
      <c r="A34" s="73" t="s">
        <v>447</v>
      </c>
      <c r="B34" s="74" t="s">
        <v>66</v>
      </c>
      <c r="C34" s="73" t="s">
        <v>67</v>
      </c>
      <c r="D34" s="66">
        <v>0</v>
      </c>
      <c r="E34" s="66">
        <v>0</v>
      </c>
      <c r="F34" s="66">
        <v>0</v>
      </c>
      <c r="G34" s="66">
        <v>0</v>
      </c>
      <c r="H34" s="73"/>
      <c r="I34" s="66"/>
      <c r="J34" s="66"/>
      <c r="K34" s="73"/>
      <c r="L34" s="66"/>
    </row>
    <row r="35" spans="1:12" s="37" customFormat="1" ht="20.25" hidden="1" customHeight="1" x14ac:dyDescent="0.25">
      <c r="A35" s="70" t="s">
        <v>375</v>
      </c>
      <c r="B35" s="71"/>
      <c r="C35" s="70" t="s">
        <v>416</v>
      </c>
      <c r="D35" s="72">
        <v>446873756</v>
      </c>
      <c r="E35" s="72">
        <v>78860075</v>
      </c>
      <c r="F35" s="72">
        <v>525733831</v>
      </c>
      <c r="G35" s="72">
        <v>20.77393310405337</v>
      </c>
      <c r="H35" s="70"/>
      <c r="I35" s="72"/>
      <c r="J35" s="72"/>
      <c r="K35" s="70"/>
      <c r="L35" s="72"/>
    </row>
    <row r="36" spans="1:12" hidden="1" x14ac:dyDescent="0.25">
      <c r="A36" s="75" t="s">
        <v>414</v>
      </c>
      <c r="B36" s="76"/>
      <c r="C36" s="75" t="s">
        <v>415</v>
      </c>
      <c r="D36" s="77">
        <v>446873756</v>
      </c>
      <c r="E36" s="77">
        <v>78860075</v>
      </c>
      <c r="F36" s="77">
        <v>525733831</v>
      </c>
      <c r="G36" s="77"/>
      <c r="H36" s="75"/>
      <c r="I36" s="77"/>
      <c r="J36" s="77">
        <v>205071525</v>
      </c>
      <c r="K36" s="75"/>
      <c r="L36" s="77"/>
    </row>
    <row r="37" spans="1:12" hidden="1" x14ac:dyDescent="0.25">
      <c r="A37" s="75" t="s">
        <v>401</v>
      </c>
      <c r="B37" s="76"/>
      <c r="C37" s="75"/>
      <c r="D37" s="77">
        <v>0</v>
      </c>
      <c r="E37" s="77">
        <v>0</v>
      </c>
      <c r="F37" s="77">
        <v>0</v>
      </c>
      <c r="G37" s="77"/>
      <c r="H37" s="75"/>
      <c r="I37" s="77">
        <v>205071525</v>
      </c>
      <c r="J37" s="77"/>
      <c r="K37" s="75"/>
      <c r="L37" s="77"/>
    </row>
    <row r="38" spans="1:12" ht="45" hidden="1" x14ac:dyDescent="0.25">
      <c r="A38" s="75" t="s">
        <v>439</v>
      </c>
      <c r="B38" s="76"/>
      <c r="C38" s="75" t="s">
        <v>402</v>
      </c>
      <c r="D38" s="77">
        <v>258991020</v>
      </c>
      <c r="E38" s="77">
        <v>45704297</v>
      </c>
      <c r="F38" s="77">
        <v>304695317</v>
      </c>
      <c r="G38" s="77">
        <v>57.956193616157073</v>
      </c>
      <c r="H38" s="75"/>
      <c r="I38" s="77"/>
      <c r="J38" s="77"/>
      <c r="K38" s="75"/>
      <c r="L38" s="77"/>
    </row>
    <row r="39" spans="1:12" ht="90" hidden="1" x14ac:dyDescent="0.25">
      <c r="A39" s="75" t="s">
        <v>449</v>
      </c>
      <c r="B39" s="76" t="s">
        <v>64</v>
      </c>
      <c r="C39" s="75" t="s">
        <v>65</v>
      </c>
      <c r="D39" s="77">
        <v>151521525</v>
      </c>
      <c r="E39" s="77">
        <v>26739092</v>
      </c>
      <c r="F39" s="77">
        <v>178260617</v>
      </c>
      <c r="G39" s="77">
        <v>1600000</v>
      </c>
      <c r="H39" s="75" t="s">
        <v>305</v>
      </c>
      <c r="I39" s="77">
        <v>19</v>
      </c>
      <c r="J39" s="77">
        <v>111</v>
      </c>
      <c r="K39" s="75" t="s">
        <v>306</v>
      </c>
      <c r="L39" s="77">
        <v>276</v>
      </c>
    </row>
    <row r="40" spans="1:12" ht="60" hidden="1" x14ac:dyDescent="0.25">
      <c r="A40" s="75"/>
      <c r="B40" s="76"/>
      <c r="C40" s="75"/>
      <c r="D40" s="77"/>
      <c r="E40" s="77"/>
      <c r="F40" s="77"/>
      <c r="G40" s="77"/>
      <c r="H40" s="75" t="s">
        <v>307</v>
      </c>
      <c r="I40" s="77">
        <v>19</v>
      </c>
      <c r="J40" s="77">
        <v>111</v>
      </c>
      <c r="K40" s="75"/>
      <c r="L40" s="77"/>
    </row>
    <row r="41" spans="1:12" ht="135" hidden="1" x14ac:dyDescent="0.25">
      <c r="A41" s="75"/>
      <c r="B41" s="76">
        <v>146</v>
      </c>
      <c r="C41" s="75" t="s">
        <v>268</v>
      </c>
      <c r="D41" s="77">
        <v>369495</v>
      </c>
      <c r="E41" s="77">
        <v>65205</v>
      </c>
      <c r="F41" s="77">
        <v>434700</v>
      </c>
      <c r="G41" s="77">
        <v>3150</v>
      </c>
      <c r="H41" s="75" t="s">
        <v>370</v>
      </c>
      <c r="I41" s="77">
        <v>23</v>
      </c>
      <c r="J41" s="77">
        <v>138</v>
      </c>
      <c r="K41" s="75" t="s">
        <v>361</v>
      </c>
      <c r="L41" s="77">
        <v>138</v>
      </c>
    </row>
    <row r="42" spans="1:12" ht="75" hidden="1" x14ac:dyDescent="0.25">
      <c r="A42" s="75" t="s">
        <v>450</v>
      </c>
      <c r="B42" s="76" t="s">
        <v>64</v>
      </c>
      <c r="C42" s="75" t="s">
        <v>65</v>
      </c>
      <c r="D42" s="77">
        <v>53550000</v>
      </c>
      <c r="E42" s="77">
        <v>9450000</v>
      </c>
      <c r="F42" s="77">
        <v>63000000</v>
      </c>
      <c r="G42" s="77">
        <v>180000</v>
      </c>
      <c r="H42" s="75" t="s">
        <v>305</v>
      </c>
      <c r="I42" s="77">
        <v>88</v>
      </c>
      <c r="J42" s="77">
        <v>350</v>
      </c>
      <c r="K42" s="75" t="s">
        <v>306</v>
      </c>
      <c r="L42" s="77">
        <v>1308</v>
      </c>
    </row>
    <row r="43" spans="1:12" ht="60" hidden="1" x14ac:dyDescent="0.25">
      <c r="A43" s="75"/>
      <c r="B43" s="76"/>
      <c r="C43" s="75"/>
      <c r="D43" s="77"/>
      <c r="E43" s="77"/>
      <c r="F43" s="77"/>
      <c r="G43" s="77"/>
      <c r="H43" s="75" t="s">
        <v>307</v>
      </c>
      <c r="I43" s="77">
        <v>88</v>
      </c>
      <c r="J43" s="77">
        <v>350</v>
      </c>
      <c r="K43" s="75"/>
      <c r="L43" s="77"/>
    </row>
    <row r="44" spans="1:12" ht="60" hidden="1" x14ac:dyDescent="0.25">
      <c r="A44" s="75"/>
      <c r="B44" s="76" t="s">
        <v>72</v>
      </c>
      <c r="C44" s="75" t="s">
        <v>497</v>
      </c>
      <c r="D44" s="77">
        <v>35700000</v>
      </c>
      <c r="E44" s="77">
        <v>6300000</v>
      </c>
      <c r="F44" s="77">
        <v>42000000</v>
      </c>
      <c r="G44" s="77">
        <v>80000</v>
      </c>
      <c r="H44" s="75" t="s">
        <v>305</v>
      </c>
      <c r="I44" s="77">
        <v>131</v>
      </c>
      <c r="J44" s="77">
        <v>525</v>
      </c>
      <c r="K44" s="75" t="s">
        <v>323</v>
      </c>
      <c r="L44" s="77">
        <v>357</v>
      </c>
    </row>
    <row r="45" spans="1:12" ht="75" hidden="1" x14ac:dyDescent="0.25">
      <c r="A45" s="75"/>
      <c r="B45" s="76"/>
      <c r="C45" s="75"/>
      <c r="D45" s="77"/>
      <c r="E45" s="77"/>
      <c r="F45" s="77"/>
      <c r="G45" s="77"/>
      <c r="H45" s="75" t="s">
        <v>307</v>
      </c>
      <c r="I45" s="77">
        <v>131</v>
      </c>
      <c r="J45" s="77">
        <v>525</v>
      </c>
      <c r="K45" s="75" t="s">
        <v>306</v>
      </c>
      <c r="L45" s="77">
        <v>430</v>
      </c>
    </row>
    <row r="46" spans="1:12" ht="60" hidden="1" x14ac:dyDescent="0.25">
      <c r="A46" s="75"/>
      <c r="B46" s="76"/>
      <c r="C46" s="75"/>
      <c r="D46" s="77"/>
      <c r="E46" s="77"/>
      <c r="F46" s="77"/>
      <c r="G46" s="77"/>
      <c r="H46" s="75" t="s">
        <v>312</v>
      </c>
      <c r="I46" s="77">
        <v>131</v>
      </c>
      <c r="J46" s="77">
        <v>525</v>
      </c>
      <c r="K46" s="75"/>
      <c r="L46" s="77"/>
    </row>
    <row r="47" spans="1:12" ht="90" hidden="1" x14ac:dyDescent="0.25">
      <c r="A47" s="75" t="s">
        <v>451</v>
      </c>
      <c r="B47" s="76" t="s">
        <v>62</v>
      </c>
      <c r="C47" s="75" t="s">
        <v>63</v>
      </c>
      <c r="D47" s="77">
        <v>17850000</v>
      </c>
      <c r="E47" s="77">
        <v>3150000</v>
      </c>
      <c r="F47" s="77">
        <v>21000000</v>
      </c>
      <c r="G47" s="77">
        <v>3500000</v>
      </c>
      <c r="H47" s="75" t="s">
        <v>305</v>
      </c>
      <c r="I47" s="77"/>
      <c r="J47" s="77">
        <v>300</v>
      </c>
      <c r="K47" s="75" t="s">
        <v>325</v>
      </c>
      <c r="L47" s="77">
        <v>75</v>
      </c>
    </row>
    <row r="48" spans="1:12" ht="75" hidden="1" x14ac:dyDescent="0.25">
      <c r="A48" s="75"/>
      <c r="B48" s="76"/>
      <c r="C48" s="75"/>
      <c r="D48" s="77"/>
      <c r="E48" s="77"/>
      <c r="F48" s="77"/>
      <c r="G48" s="77"/>
      <c r="H48" s="75"/>
      <c r="I48" s="77"/>
      <c r="J48" s="77"/>
      <c r="K48" s="75" t="s">
        <v>306</v>
      </c>
      <c r="L48" s="77">
        <v>150</v>
      </c>
    </row>
    <row r="49" spans="1:12" ht="60" hidden="1" x14ac:dyDescent="0.25">
      <c r="A49" s="75"/>
      <c r="B49" s="76"/>
      <c r="C49" s="75"/>
      <c r="D49" s="77"/>
      <c r="E49" s="77"/>
      <c r="F49" s="77"/>
      <c r="G49" s="77"/>
      <c r="H49" s="75" t="s">
        <v>310</v>
      </c>
      <c r="I49" s="77">
        <v>0</v>
      </c>
      <c r="J49" s="77">
        <v>300</v>
      </c>
      <c r="K49" s="75"/>
      <c r="L49" s="77"/>
    </row>
    <row r="50" spans="1:12" ht="120" hidden="1" x14ac:dyDescent="0.25">
      <c r="A50" s="75" t="s">
        <v>468</v>
      </c>
      <c r="B50" s="76"/>
      <c r="C50" s="75" t="s">
        <v>448</v>
      </c>
      <c r="D50" s="77">
        <v>52442365</v>
      </c>
      <c r="E50" s="77">
        <v>9254535</v>
      </c>
      <c r="F50" s="77">
        <v>61696900</v>
      </c>
      <c r="G50" s="77">
        <v>11.735387065094542</v>
      </c>
      <c r="H50" s="75"/>
      <c r="I50" s="77"/>
      <c r="J50" s="77"/>
      <c r="K50" s="75"/>
      <c r="L50" s="77"/>
    </row>
    <row r="51" spans="1:12" ht="135" hidden="1" x14ac:dyDescent="0.25">
      <c r="A51" s="75" t="s">
        <v>387</v>
      </c>
      <c r="B51" s="76">
        <v>139</v>
      </c>
      <c r="C51" s="75" t="s">
        <v>261</v>
      </c>
      <c r="D51" s="77">
        <v>15725850</v>
      </c>
      <c r="E51" s="77">
        <v>2775150</v>
      </c>
      <c r="F51" s="77">
        <v>18501000</v>
      </c>
      <c r="G51" s="77">
        <v>2100</v>
      </c>
      <c r="H51" s="75" t="s">
        <v>350</v>
      </c>
      <c r="I51" s="77">
        <v>0</v>
      </c>
      <c r="J51" s="77">
        <v>8810</v>
      </c>
      <c r="K51" s="75" t="s">
        <v>347</v>
      </c>
      <c r="L51" s="77">
        <v>1785</v>
      </c>
    </row>
    <row r="52" spans="1:12" hidden="1" x14ac:dyDescent="0.25">
      <c r="A52" s="75" t="s">
        <v>388</v>
      </c>
      <c r="B52" s="76"/>
      <c r="C52" s="75"/>
      <c r="D52" s="77">
        <v>527765</v>
      </c>
      <c r="E52" s="77">
        <v>93135</v>
      </c>
      <c r="F52" s="77">
        <v>620900</v>
      </c>
      <c r="G52" s="77">
        <v>620900</v>
      </c>
      <c r="H52" s="75"/>
      <c r="I52" s="77">
        <v>69025621</v>
      </c>
      <c r="J52" s="77">
        <v>1</v>
      </c>
      <c r="K52" s="75"/>
      <c r="L52" s="77"/>
    </row>
    <row r="53" spans="1:12" ht="135" hidden="1" x14ac:dyDescent="0.25">
      <c r="A53" s="75" t="s">
        <v>381</v>
      </c>
      <c r="B53" s="76">
        <v>146</v>
      </c>
      <c r="C53" s="75" t="s">
        <v>268</v>
      </c>
      <c r="D53" s="77">
        <v>36188750</v>
      </c>
      <c r="E53" s="77">
        <v>6386250</v>
      </c>
      <c r="F53" s="77">
        <v>42575000</v>
      </c>
      <c r="G53" s="77">
        <v>6550</v>
      </c>
      <c r="H53" s="75" t="s">
        <v>370</v>
      </c>
      <c r="I53" s="77">
        <v>1625</v>
      </c>
      <c r="J53" s="77">
        <v>6500</v>
      </c>
      <c r="K53" s="75" t="s">
        <v>361</v>
      </c>
      <c r="L53" s="77">
        <v>1365</v>
      </c>
    </row>
    <row r="54" spans="1:12" ht="45" hidden="1" x14ac:dyDescent="0.25">
      <c r="A54" s="75" t="s">
        <v>467</v>
      </c>
      <c r="B54" s="76"/>
      <c r="C54" s="75" t="s">
        <v>405</v>
      </c>
      <c r="D54" s="77">
        <v>109940371</v>
      </c>
      <c r="E54" s="77">
        <v>19401243</v>
      </c>
      <c r="F54" s="77">
        <v>129341614</v>
      </c>
      <c r="G54" s="77">
        <v>24.602109731835004</v>
      </c>
      <c r="H54" s="75"/>
      <c r="I54" s="77"/>
      <c r="J54" s="77"/>
      <c r="K54" s="75"/>
      <c r="L54" s="77"/>
    </row>
    <row r="55" spans="1:12" ht="90" hidden="1" x14ac:dyDescent="0.25">
      <c r="A55" s="75" t="s">
        <v>443</v>
      </c>
      <c r="B55" s="76" t="s">
        <v>116</v>
      </c>
      <c r="C55" s="75" t="s">
        <v>117</v>
      </c>
      <c r="D55" s="77">
        <v>13685000</v>
      </c>
      <c r="E55" s="77">
        <v>2415000</v>
      </c>
      <c r="F55" s="77">
        <v>16100000</v>
      </c>
      <c r="G55" s="77">
        <v>1610000</v>
      </c>
      <c r="H55" s="75" t="s">
        <v>328</v>
      </c>
      <c r="I55" s="77">
        <v>0</v>
      </c>
      <c r="J55" s="77">
        <v>10</v>
      </c>
      <c r="K55" s="75" t="s">
        <v>330</v>
      </c>
      <c r="L55" s="77">
        <v>21000</v>
      </c>
    </row>
    <row r="56" spans="1:12" ht="90" hidden="1" x14ac:dyDescent="0.25">
      <c r="A56" s="75"/>
      <c r="B56" s="76" t="s">
        <v>118</v>
      </c>
      <c r="C56" s="75" t="s">
        <v>119</v>
      </c>
      <c r="D56" s="77">
        <v>15810000</v>
      </c>
      <c r="E56" s="77">
        <v>2790000</v>
      </c>
      <c r="F56" s="77">
        <v>18600000</v>
      </c>
      <c r="G56" s="77">
        <v>930000</v>
      </c>
      <c r="H56" s="75" t="s">
        <v>328</v>
      </c>
      <c r="I56" s="77">
        <v>0</v>
      </c>
      <c r="J56" s="77">
        <v>20</v>
      </c>
      <c r="K56" s="75" t="s">
        <v>330</v>
      </c>
      <c r="L56" s="77">
        <v>22760</v>
      </c>
    </row>
    <row r="57" spans="1:12" ht="90" hidden="1" x14ac:dyDescent="0.25">
      <c r="A57" s="75"/>
      <c r="B57" s="76" t="s">
        <v>126</v>
      </c>
      <c r="C57" s="75" t="s">
        <v>127</v>
      </c>
      <c r="D57" s="77">
        <v>12665000</v>
      </c>
      <c r="E57" s="77">
        <v>2235000</v>
      </c>
      <c r="F57" s="77">
        <v>14900000</v>
      </c>
      <c r="G57" s="77">
        <v>2980000</v>
      </c>
      <c r="H57" s="75" t="s">
        <v>328</v>
      </c>
      <c r="I57" s="77">
        <v>0</v>
      </c>
      <c r="J57" s="77">
        <v>5</v>
      </c>
      <c r="K57" s="75" t="s">
        <v>330</v>
      </c>
      <c r="L57" s="77">
        <v>5685</v>
      </c>
    </row>
    <row r="58" spans="1:12" ht="75" hidden="1" x14ac:dyDescent="0.25">
      <c r="A58" s="75" t="s">
        <v>444</v>
      </c>
      <c r="B58" s="76" t="s">
        <v>186</v>
      </c>
      <c r="C58" s="75" t="s">
        <v>187</v>
      </c>
      <c r="D58" s="77">
        <v>13863500</v>
      </c>
      <c r="E58" s="77">
        <v>2446500</v>
      </c>
      <c r="F58" s="77">
        <v>16310000</v>
      </c>
      <c r="G58" s="77">
        <v>7450</v>
      </c>
      <c r="H58" s="75" t="s">
        <v>344</v>
      </c>
      <c r="I58" s="77">
        <v>0</v>
      </c>
      <c r="J58" s="77">
        <v>2300</v>
      </c>
      <c r="K58" s="75" t="s">
        <v>341</v>
      </c>
      <c r="L58" s="77">
        <v>301963</v>
      </c>
    </row>
    <row r="59" spans="1:12" ht="45" hidden="1" x14ac:dyDescent="0.25">
      <c r="A59" s="75"/>
      <c r="B59" s="76" t="s">
        <v>194</v>
      </c>
      <c r="C59" s="75" t="s">
        <v>195</v>
      </c>
      <c r="D59" s="77">
        <v>701250</v>
      </c>
      <c r="E59" s="77">
        <v>123750</v>
      </c>
      <c r="F59" s="77">
        <v>825000</v>
      </c>
      <c r="G59" s="77"/>
      <c r="H59" s="75" t="s">
        <v>474</v>
      </c>
      <c r="I59" s="77">
        <v>0</v>
      </c>
      <c r="J59" s="77">
        <v>66</v>
      </c>
      <c r="K59" s="75"/>
      <c r="L59" s="77"/>
    </row>
    <row r="60" spans="1:12" ht="90" hidden="1" x14ac:dyDescent="0.25">
      <c r="A60" s="75" t="s">
        <v>445</v>
      </c>
      <c r="B60" s="76" t="s">
        <v>118</v>
      </c>
      <c r="C60" s="75" t="s">
        <v>119</v>
      </c>
      <c r="D60" s="77">
        <v>53215621</v>
      </c>
      <c r="E60" s="77">
        <v>9390993</v>
      </c>
      <c r="F60" s="77">
        <v>62606614</v>
      </c>
      <c r="G60" s="77">
        <v>2086887</v>
      </c>
      <c r="H60" s="75" t="s">
        <v>328</v>
      </c>
      <c r="I60" s="77">
        <v>5</v>
      </c>
      <c r="J60" s="77">
        <v>30</v>
      </c>
      <c r="K60" s="75" t="s">
        <v>330</v>
      </c>
      <c r="L60" s="77">
        <v>34140</v>
      </c>
    </row>
    <row r="61" spans="1:12" ht="45" hidden="1" x14ac:dyDescent="0.25">
      <c r="A61" s="75"/>
      <c r="B61" s="76"/>
      <c r="C61" s="75"/>
      <c r="D61" s="77"/>
      <c r="E61" s="77"/>
      <c r="F61" s="77"/>
      <c r="G61" s="77"/>
      <c r="H61" s="75" t="s">
        <v>472</v>
      </c>
      <c r="I61" s="77">
        <v>1000</v>
      </c>
      <c r="J61" s="77">
        <v>6000</v>
      </c>
      <c r="K61" s="75"/>
      <c r="L61" s="77"/>
    </row>
    <row r="62" spans="1:12" ht="75" hidden="1" x14ac:dyDescent="0.25">
      <c r="A62" s="75" t="s">
        <v>441</v>
      </c>
      <c r="B62" s="76"/>
      <c r="C62" s="75" t="s">
        <v>404</v>
      </c>
      <c r="D62" s="77">
        <v>25500000</v>
      </c>
      <c r="E62" s="77">
        <v>4500000</v>
      </c>
      <c r="F62" s="77">
        <v>30000000</v>
      </c>
      <c r="G62" s="77">
        <v>5.706309586913382</v>
      </c>
      <c r="H62" s="75"/>
      <c r="I62" s="77"/>
      <c r="J62" s="77"/>
      <c r="K62" s="75"/>
      <c r="L62" s="77"/>
    </row>
    <row r="63" spans="1:12" ht="105" hidden="1" x14ac:dyDescent="0.25">
      <c r="A63" s="75" t="s">
        <v>441</v>
      </c>
      <c r="B63" s="76" t="s">
        <v>168</v>
      </c>
      <c r="C63" s="75" t="s">
        <v>169</v>
      </c>
      <c r="D63" s="77">
        <v>25500000</v>
      </c>
      <c r="E63" s="77">
        <v>4500000</v>
      </c>
      <c r="F63" s="77">
        <v>30000000</v>
      </c>
      <c r="G63" s="77">
        <v>407000</v>
      </c>
      <c r="H63" s="75" t="s">
        <v>336</v>
      </c>
      <c r="I63" s="77">
        <v>0</v>
      </c>
      <c r="J63" s="77">
        <v>74</v>
      </c>
      <c r="K63" s="75" t="s">
        <v>339</v>
      </c>
      <c r="L63" s="77">
        <v>37</v>
      </c>
    </row>
    <row r="64" spans="1:12" ht="30" hidden="1" x14ac:dyDescent="0.25">
      <c r="A64" s="75" t="s">
        <v>442</v>
      </c>
      <c r="B64" s="76"/>
      <c r="C64" s="75" t="s">
        <v>407</v>
      </c>
      <c r="D64" s="77">
        <v>0</v>
      </c>
      <c r="E64" s="77">
        <v>0</v>
      </c>
      <c r="F64" s="77">
        <v>0</v>
      </c>
      <c r="G64" s="77">
        <v>0</v>
      </c>
      <c r="H64" s="75"/>
      <c r="I64" s="77"/>
      <c r="J64" s="77"/>
      <c r="K64" s="75"/>
      <c r="L64" s="77"/>
    </row>
    <row r="65" spans="1:12" ht="75" x14ac:dyDescent="0.25">
      <c r="A65" s="75" t="s">
        <v>446</v>
      </c>
      <c r="B65" s="76" t="s">
        <v>174</v>
      </c>
      <c r="C65" s="75" t="s">
        <v>67</v>
      </c>
      <c r="D65" s="77">
        <v>0</v>
      </c>
      <c r="E65" s="77">
        <v>0</v>
      </c>
      <c r="F65" s="77">
        <v>0</v>
      </c>
      <c r="G65" s="77">
        <v>0</v>
      </c>
      <c r="H65" s="75" t="s">
        <v>475</v>
      </c>
      <c r="I65" s="77">
        <v>0</v>
      </c>
      <c r="J65" s="77">
        <v>114000</v>
      </c>
      <c r="K65" s="75"/>
      <c r="L65" s="77"/>
    </row>
    <row r="66" spans="1:12" ht="75" x14ac:dyDescent="0.25">
      <c r="A66" s="75" t="s">
        <v>447</v>
      </c>
      <c r="B66" s="76" t="s">
        <v>66</v>
      </c>
      <c r="C66" s="75" t="s">
        <v>67</v>
      </c>
      <c r="D66" s="77">
        <v>0</v>
      </c>
      <c r="E66" s="77">
        <v>0</v>
      </c>
      <c r="F66" s="77">
        <v>0</v>
      </c>
      <c r="G66" s="77">
        <v>0</v>
      </c>
      <c r="H66" s="75" t="s">
        <v>476</v>
      </c>
      <c r="I66" s="77">
        <v>28</v>
      </c>
      <c r="J66" s="77">
        <v>167</v>
      </c>
      <c r="K66" s="75"/>
      <c r="L66" s="77"/>
    </row>
    <row r="67" spans="1:12" s="37" customFormat="1" ht="17.25" hidden="1" customHeight="1" x14ac:dyDescent="0.25">
      <c r="A67" s="78" t="s">
        <v>376</v>
      </c>
      <c r="B67" s="79"/>
      <c r="C67" s="78" t="s">
        <v>417</v>
      </c>
      <c r="D67" s="80">
        <v>350225301</v>
      </c>
      <c r="E67" s="80">
        <v>61804465</v>
      </c>
      <c r="F67" s="80">
        <v>412029766</v>
      </c>
      <c r="G67" s="80">
        <v>16.281011970414291</v>
      </c>
      <c r="H67" s="78"/>
      <c r="I67" s="80"/>
      <c r="J67" s="80"/>
      <c r="K67" s="78"/>
      <c r="L67" s="80"/>
    </row>
    <row r="68" spans="1:12" hidden="1" x14ac:dyDescent="0.25">
      <c r="A68" s="81" t="s">
        <v>419</v>
      </c>
      <c r="B68" s="82"/>
      <c r="C68" s="81" t="s">
        <v>418</v>
      </c>
      <c r="D68" s="83">
        <v>350225301</v>
      </c>
      <c r="E68" s="83">
        <v>61804465</v>
      </c>
      <c r="F68" s="83">
        <v>412029766</v>
      </c>
      <c r="G68" s="83"/>
      <c r="H68" s="81"/>
      <c r="I68" s="83"/>
      <c r="J68" s="83"/>
      <c r="K68" s="81"/>
      <c r="L68" s="83"/>
    </row>
    <row r="69" spans="1:12" hidden="1" x14ac:dyDescent="0.25">
      <c r="A69" s="81" t="s">
        <v>401</v>
      </c>
      <c r="B69" s="82"/>
      <c r="C69" s="81"/>
      <c r="D69" s="83">
        <v>0</v>
      </c>
      <c r="E69" s="83">
        <v>0</v>
      </c>
      <c r="F69" s="83">
        <v>0</v>
      </c>
      <c r="G69" s="83"/>
      <c r="H69" s="81"/>
      <c r="I69" s="83"/>
      <c r="J69" s="83"/>
      <c r="K69" s="81"/>
      <c r="L69" s="83"/>
    </row>
    <row r="70" spans="1:12" ht="45" hidden="1" x14ac:dyDescent="0.25">
      <c r="A70" s="81" t="s">
        <v>439</v>
      </c>
      <c r="B70" s="82"/>
      <c r="C70" s="81" t="s">
        <v>402</v>
      </c>
      <c r="D70" s="83">
        <v>198567452</v>
      </c>
      <c r="E70" s="83">
        <v>35041315</v>
      </c>
      <c r="F70" s="83">
        <v>233608767</v>
      </c>
      <c r="G70" s="83">
        <v>56.697060813805379</v>
      </c>
      <c r="H70" s="81"/>
      <c r="I70" s="83"/>
      <c r="J70" s="83"/>
      <c r="K70" s="81"/>
      <c r="L70" s="83"/>
    </row>
    <row r="71" spans="1:12" ht="90" hidden="1" x14ac:dyDescent="0.25">
      <c r="A71" s="81" t="s">
        <v>449</v>
      </c>
      <c r="B71" s="82" t="s">
        <v>64</v>
      </c>
      <c r="C71" s="81" t="s">
        <v>65</v>
      </c>
      <c r="D71" s="83">
        <v>118771152</v>
      </c>
      <c r="E71" s="83">
        <v>20959615</v>
      </c>
      <c r="F71" s="83">
        <v>139730767</v>
      </c>
      <c r="G71" s="83">
        <v>1600000</v>
      </c>
      <c r="H71" s="81" t="s">
        <v>305</v>
      </c>
      <c r="I71" s="83">
        <v>15</v>
      </c>
      <c r="J71" s="83">
        <v>87.331729374999995</v>
      </c>
      <c r="K71" s="81" t="s">
        <v>306</v>
      </c>
      <c r="L71" s="83">
        <v>258</v>
      </c>
    </row>
    <row r="72" spans="1:12" ht="60" hidden="1" x14ac:dyDescent="0.25">
      <c r="A72" s="81"/>
      <c r="B72" s="82"/>
      <c r="C72" s="81"/>
      <c r="D72" s="83"/>
      <c r="E72" s="83"/>
      <c r="F72" s="83"/>
      <c r="G72" s="83"/>
      <c r="H72" s="81" t="s">
        <v>307</v>
      </c>
      <c r="I72" s="83">
        <v>15</v>
      </c>
      <c r="J72" s="83">
        <v>87.331729374999995</v>
      </c>
      <c r="K72" s="81"/>
      <c r="L72" s="83"/>
    </row>
    <row r="73" spans="1:12" ht="135" hidden="1" x14ac:dyDescent="0.25">
      <c r="A73" s="81"/>
      <c r="B73" s="82">
        <v>146</v>
      </c>
      <c r="C73" s="81" t="s">
        <v>268</v>
      </c>
      <c r="D73" s="83">
        <v>345398</v>
      </c>
      <c r="E73" s="83">
        <v>60952</v>
      </c>
      <c r="F73" s="83">
        <v>406350</v>
      </c>
      <c r="G73" s="83">
        <v>3150</v>
      </c>
      <c r="H73" s="81" t="s">
        <v>370</v>
      </c>
      <c r="I73" s="83">
        <v>22</v>
      </c>
      <c r="J73" s="83">
        <v>129</v>
      </c>
      <c r="K73" s="81" t="s">
        <v>361</v>
      </c>
      <c r="L73" s="83">
        <v>129</v>
      </c>
    </row>
    <row r="74" spans="1:12" ht="75" hidden="1" x14ac:dyDescent="0.25">
      <c r="A74" s="81" t="s">
        <v>450</v>
      </c>
      <c r="B74" s="82" t="s">
        <v>64</v>
      </c>
      <c r="C74" s="81" t="s">
        <v>65</v>
      </c>
      <c r="D74" s="83">
        <v>36125000</v>
      </c>
      <c r="E74" s="83">
        <v>6375000</v>
      </c>
      <c r="F74" s="83">
        <v>42500000</v>
      </c>
      <c r="G74" s="83">
        <v>180000</v>
      </c>
      <c r="H74" s="81" t="s">
        <v>305</v>
      </c>
      <c r="I74" s="83">
        <v>59</v>
      </c>
      <c r="J74" s="83">
        <v>236</v>
      </c>
      <c r="K74" s="81" t="s">
        <v>306</v>
      </c>
      <c r="L74" s="83">
        <v>972</v>
      </c>
    </row>
    <row r="75" spans="1:12" ht="60" hidden="1" x14ac:dyDescent="0.25">
      <c r="A75" s="81"/>
      <c r="B75" s="82"/>
      <c r="C75" s="81"/>
      <c r="D75" s="83"/>
      <c r="E75" s="83"/>
      <c r="F75" s="83"/>
      <c r="G75" s="83"/>
      <c r="H75" s="81" t="s">
        <v>307</v>
      </c>
      <c r="I75" s="83">
        <v>59</v>
      </c>
      <c r="J75" s="83">
        <v>236</v>
      </c>
      <c r="K75" s="81"/>
      <c r="L75" s="83"/>
    </row>
    <row r="76" spans="1:12" ht="60" hidden="1" x14ac:dyDescent="0.25">
      <c r="A76" s="81"/>
      <c r="B76" s="82" t="s">
        <v>72</v>
      </c>
      <c r="C76" s="81" t="s">
        <v>497</v>
      </c>
      <c r="D76" s="83">
        <v>25475902</v>
      </c>
      <c r="E76" s="83">
        <v>4495748</v>
      </c>
      <c r="F76" s="83">
        <v>29971650</v>
      </c>
      <c r="G76" s="83">
        <v>80000</v>
      </c>
      <c r="H76" s="81" t="s">
        <v>305</v>
      </c>
      <c r="I76" s="83">
        <v>94</v>
      </c>
      <c r="J76" s="83">
        <v>375</v>
      </c>
      <c r="K76" s="81" t="s">
        <v>323</v>
      </c>
      <c r="L76" s="83">
        <v>255</v>
      </c>
    </row>
    <row r="77" spans="1:12" ht="75" hidden="1" x14ac:dyDescent="0.25">
      <c r="A77" s="81"/>
      <c r="B77" s="82"/>
      <c r="C77" s="81"/>
      <c r="D77" s="83"/>
      <c r="E77" s="83"/>
      <c r="F77" s="83"/>
      <c r="G77" s="83"/>
      <c r="H77" s="81" t="s">
        <v>307</v>
      </c>
      <c r="I77" s="83">
        <v>94</v>
      </c>
      <c r="J77" s="83">
        <v>375</v>
      </c>
      <c r="K77" s="81" t="s">
        <v>306</v>
      </c>
      <c r="L77" s="83">
        <v>445</v>
      </c>
    </row>
    <row r="78" spans="1:12" ht="60" hidden="1" x14ac:dyDescent="0.25">
      <c r="A78" s="81"/>
      <c r="B78" s="82"/>
      <c r="C78" s="81"/>
      <c r="D78" s="83"/>
      <c r="E78" s="83"/>
      <c r="F78" s="83"/>
      <c r="G78" s="83"/>
      <c r="H78" s="81" t="s">
        <v>312</v>
      </c>
      <c r="I78" s="83">
        <v>94</v>
      </c>
      <c r="J78" s="83">
        <v>375</v>
      </c>
      <c r="K78" s="81"/>
      <c r="L78" s="83"/>
    </row>
    <row r="79" spans="1:12" ht="90" hidden="1" x14ac:dyDescent="0.25">
      <c r="A79" s="81" t="s">
        <v>451</v>
      </c>
      <c r="B79" s="82" t="s">
        <v>62</v>
      </c>
      <c r="C79" s="81" t="s">
        <v>63</v>
      </c>
      <c r="D79" s="83">
        <v>17850000</v>
      </c>
      <c r="E79" s="83">
        <v>3150000</v>
      </c>
      <c r="F79" s="83">
        <v>21000000</v>
      </c>
      <c r="G79" s="83">
        <v>3500000</v>
      </c>
      <c r="H79" s="81" t="s">
        <v>305</v>
      </c>
      <c r="I79" s="83">
        <v>0</v>
      </c>
      <c r="J79" s="83">
        <v>300</v>
      </c>
      <c r="K79" s="81" t="s">
        <v>325</v>
      </c>
      <c r="L79" s="83">
        <v>75</v>
      </c>
    </row>
    <row r="80" spans="1:12" ht="75" hidden="1" x14ac:dyDescent="0.25">
      <c r="A80" s="81"/>
      <c r="B80" s="82"/>
      <c r="C80" s="81"/>
      <c r="D80" s="83"/>
      <c r="E80" s="83"/>
      <c r="F80" s="83"/>
      <c r="G80" s="83"/>
      <c r="H80" s="81"/>
      <c r="I80" s="83"/>
      <c r="J80" s="83"/>
      <c r="K80" s="81" t="s">
        <v>306</v>
      </c>
      <c r="L80" s="83">
        <v>150</v>
      </c>
    </row>
    <row r="81" spans="1:12" ht="60" hidden="1" x14ac:dyDescent="0.25">
      <c r="A81" s="81"/>
      <c r="B81" s="82"/>
      <c r="C81" s="81"/>
      <c r="D81" s="83"/>
      <c r="E81" s="83"/>
      <c r="F81" s="83"/>
      <c r="G81" s="83"/>
      <c r="H81" s="81" t="s">
        <v>310</v>
      </c>
      <c r="I81" s="83"/>
      <c r="J81" s="83">
        <v>300</v>
      </c>
      <c r="K81" s="81"/>
      <c r="L81" s="83"/>
    </row>
    <row r="82" spans="1:12" ht="30" hidden="1" x14ac:dyDescent="0.25">
      <c r="A82" s="81" t="s">
        <v>440</v>
      </c>
      <c r="B82" s="82"/>
      <c r="C82" s="81" t="s">
        <v>406</v>
      </c>
      <c r="D82" s="83">
        <v>46899558</v>
      </c>
      <c r="E82" s="83">
        <v>8276392</v>
      </c>
      <c r="F82" s="83">
        <v>55175950</v>
      </c>
      <c r="G82" s="83">
        <v>13.391253388232149</v>
      </c>
      <c r="H82" s="81"/>
      <c r="I82" s="83"/>
      <c r="J82" s="83"/>
      <c r="K82" s="81"/>
      <c r="L82" s="83"/>
    </row>
    <row r="83" spans="1:12" ht="135" hidden="1" x14ac:dyDescent="0.25">
      <c r="A83" s="81" t="s">
        <v>387</v>
      </c>
      <c r="B83" s="82">
        <v>139</v>
      </c>
      <c r="C83" s="81" t="s">
        <v>261</v>
      </c>
      <c r="D83" s="83">
        <v>15725850</v>
      </c>
      <c r="E83" s="83">
        <v>2775150</v>
      </c>
      <c r="F83" s="83">
        <v>18501000</v>
      </c>
      <c r="G83" s="83">
        <v>2100</v>
      </c>
      <c r="H83" s="81" t="s">
        <v>350</v>
      </c>
      <c r="I83" s="83"/>
      <c r="J83" s="83">
        <v>8810</v>
      </c>
      <c r="K83" s="81" t="s">
        <v>347</v>
      </c>
      <c r="L83" s="83">
        <v>1785</v>
      </c>
    </row>
    <row r="84" spans="1:12" hidden="1" x14ac:dyDescent="0.25">
      <c r="A84" s="81" t="s">
        <v>388</v>
      </c>
      <c r="B84" s="82"/>
      <c r="C84" s="81"/>
      <c r="D84" s="83">
        <v>527765</v>
      </c>
      <c r="E84" s="83">
        <v>93135</v>
      </c>
      <c r="F84" s="83">
        <v>620900</v>
      </c>
      <c r="G84" s="83">
        <v>620900</v>
      </c>
      <c r="H84" s="81"/>
      <c r="I84" s="83"/>
      <c r="J84" s="83">
        <v>1</v>
      </c>
      <c r="K84" s="81"/>
      <c r="L84" s="83"/>
    </row>
    <row r="85" spans="1:12" ht="135" hidden="1" x14ac:dyDescent="0.25">
      <c r="A85" s="81" t="s">
        <v>381</v>
      </c>
      <c r="B85" s="82">
        <v>146</v>
      </c>
      <c r="C85" s="81" t="s">
        <v>268</v>
      </c>
      <c r="D85" s="83">
        <v>30645943</v>
      </c>
      <c r="E85" s="83">
        <v>5408107</v>
      </c>
      <c r="F85" s="83">
        <v>36054050</v>
      </c>
      <c r="G85" s="83">
        <v>6550</v>
      </c>
      <c r="H85" s="81" t="s">
        <v>370</v>
      </c>
      <c r="I85" s="83">
        <v>1376</v>
      </c>
      <c r="J85" s="83">
        <v>5504</v>
      </c>
      <c r="K85" s="81" t="s">
        <v>361</v>
      </c>
      <c r="L85" s="83">
        <v>1156</v>
      </c>
    </row>
    <row r="86" spans="1:12" ht="30" hidden="1" x14ac:dyDescent="0.25">
      <c r="A86" s="81" t="s">
        <v>457</v>
      </c>
      <c r="B86" s="82"/>
      <c r="C86" s="81" t="s">
        <v>405</v>
      </c>
      <c r="D86" s="83">
        <v>85208291</v>
      </c>
      <c r="E86" s="83">
        <v>15036758</v>
      </c>
      <c r="F86" s="83">
        <v>100245049</v>
      </c>
      <c r="G86" s="83">
        <v>24.329564820809573</v>
      </c>
      <c r="H86" s="81"/>
      <c r="I86" s="83">
        <v>51136041</v>
      </c>
      <c r="J86" s="83"/>
      <c r="K86" s="81"/>
      <c r="L86" s="83"/>
    </row>
    <row r="87" spans="1:12" ht="90" hidden="1" x14ac:dyDescent="0.25">
      <c r="A87" s="81" t="s">
        <v>443</v>
      </c>
      <c r="B87" s="82" t="s">
        <v>116</v>
      </c>
      <c r="C87" s="81" t="s">
        <v>117</v>
      </c>
      <c r="D87" s="83">
        <v>6842500</v>
      </c>
      <c r="E87" s="83">
        <v>1207500</v>
      </c>
      <c r="F87" s="83">
        <v>8050000</v>
      </c>
      <c r="G87" s="83">
        <v>1610000</v>
      </c>
      <c r="H87" s="81" t="s">
        <v>328</v>
      </c>
      <c r="I87" s="83">
        <v>0</v>
      </c>
      <c r="J87" s="83">
        <v>5</v>
      </c>
      <c r="K87" s="81" t="s">
        <v>330</v>
      </c>
      <c r="L87" s="83">
        <v>10500</v>
      </c>
    </row>
    <row r="88" spans="1:12" ht="90" hidden="1" x14ac:dyDescent="0.25">
      <c r="A88" s="81"/>
      <c r="B88" s="82" t="s">
        <v>118</v>
      </c>
      <c r="C88" s="81" t="s">
        <v>119</v>
      </c>
      <c r="D88" s="83">
        <v>15810000</v>
      </c>
      <c r="E88" s="83">
        <v>2790000</v>
      </c>
      <c r="F88" s="83">
        <v>18600000</v>
      </c>
      <c r="G88" s="83">
        <v>930000</v>
      </c>
      <c r="H88" s="81" t="s">
        <v>328</v>
      </c>
      <c r="I88" s="83">
        <v>0</v>
      </c>
      <c r="J88" s="83">
        <v>20</v>
      </c>
      <c r="K88" s="81" t="s">
        <v>330</v>
      </c>
      <c r="L88" s="83">
        <v>22760</v>
      </c>
    </row>
    <row r="89" spans="1:12" ht="90" hidden="1" x14ac:dyDescent="0.25">
      <c r="A89" s="81"/>
      <c r="B89" s="82" t="s">
        <v>126</v>
      </c>
      <c r="C89" s="81" t="s">
        <v>127</v>
      </c>
      <c r="D89" s="83">
        <v>12665000</v>
      </c>
      <c r="E89" s="83">
        <v>2235000</v>
      </c>
      <c r="F89" s="83">
        <v>14900000</v>
      </c>
      <c r="G89" s="83">
        <v>2980000</v>
      </c>
      <c r="H89" s="81" t="s">
        <v>328</v>
      </c>
      <c r="I89" s="83">
        <v>0</v>
      </c>
      <c r="J89" s="83">
        <v>5</v>
      </c>
      <c r="K89" s="81" t="s">
        <v>330</v>
      </c>
      <c r="L89" s="83">
        <v>5685</v>
      </c>
    </row>
    <row r="90" spans="1:12" ht="75" hidden="1" x14ac:dyDescent="0.25">
      <c r="A90" s="81" t="s">
        <v>444</v>
      </c>
      <c r="B90" s="82" t="s">
        <v>186</v>
      </c>
      <c r="C90" s="81" t="s">
        <v>187</v>
      </c>
      <c r="D90" s="83">
        <v>13863500</v>
      </c>
      <c r="E90" s="83">
        <v>2446500</v>
      </c>
      <c r="F90" s="83">
        <v>16310000</v>
      </c>
      <c r="G90" s="83">
        <v>7450</v>
      </c>
      <c r="H90" s="81" t="s">
        <v>344</v>
      </c>
      <c r="I90" s="83"/>
      <c r="J90" s="83">
        <v>2300</v>
      </c>
      <c r="K90" s="81" t="s">
        <v>341</v>
      </c>
      <c r="L90" s="83">
        <v>301963</v>
      </c>
    </row>
    <row r="91" spans="1:12" ht="45" hidden="1" x14ac:dyDescent="0.25">
      <c r="A91" s="81"/>
      <c r="B91" s="82" t="s">
        <v>194</v>
      </c>
      <c r="C91" s="81" t="s">
        <v>195</v>
      </c>
      <c r="D91" s="83">
        <v>701250</v>
      </c>
      <c r="E91" s="83">
        <v>123750</v>
      </c>
      <c r="F91" s="83">
        <v>825000</v>
      </c>
      <c r="G91" s="83"/>
      <c r="H91" s="81" t="s">
        <v>474</v>
      </c>
      <c r="I91" s="83">
        <v>0</v>
      </c>
      <c r="J91" s="83">
        <v>66</v>
      </c>
      <c r="K91" s="81"/>
      <c r="L91" s="83"/>
    </row>
    <row r="92" spans="1:12" ht="90" hidden="1" x14ac:dyDescent="0.25">
      <c r="A92" s="81" t="s">
        <v>445</v>
      </c>
      <c r="B92" s="82" t="s">
        <v>118</v>
      </c>
      <c r="C92" s="81" t="s">
        <v>119</v>
      </c>
      <c r="D92" s="83">
        <v>35326041</v>
      </c>
      <c r="E92" s="83">
        <v>6234008</v>
      </c>
      <c r="F92" s="83">
        <v>41560049</v>
      </c>
      <c r="G92" s="83">
        <v>2086246.449</v>
      </c>
      <c r="H92" s="81" t="s">
        <v>328</v>
      </c>
      <c r="I92" s="83">
        <v>3</v>
      </c>
      <c r="J92" s="83">
        <v>20</v>
      </c>
      <c r="K92" s="81" t="s">
        <v>330</v>
      </c>
      <c r="L92" s="83">
        <v>22760</v>
      </c>
    </row>
    <row r="93" spans="1:12" ht="45" hidden="1" x14ac:dyDescent="0.25">
      <c r="A93" s="81"/>
      <c r="B93" s="82"/>
      <c r="C93" s="81"/>
      <c r="D93" s="83"/>
      <c r="E93" s="83"/>
      <c r="F93" s="83"/>
      <c r="G93" s="83"/>
      <c r="H93" s="81" t="s">
        <v>472</v>
      </c>
      <c r="I93" s="83">
        <v>667</v>
      </c>
      <c r="J93" s="83">
        <v>4000</v>
      </c>
      <c r="K93" s="81"/>
      <c r="L93" s="83"/>
    </row>
    <row r="94" spans="1:12" ht="75" hidden="1" x14ac:dyDescent="0.25">
      <c r="A94" s="81" t="s">
        <v>441</v>
      </c>
      <c r="B94" s="82"/>
      <c r="C94" s="81" t="s">
        <v>404</v>
      </c>
      <c r="D94" s="83">
        <v>19550000</v>
      </c>
      <c r="E94" s="83">
        <v>3450000</v>
      </c>
      <c r="F94" s="83">
        <v>23000000</v>
      </c>
      <c r="G94" s="83">
        <v>5.5821209771528979</v>
      </c>
      <c r="H94" s="81"/>
      <c r="I94" s="83"/>
      <c r="J94" s="83"/>
      <c r="K94" s="81"/>
      <c r="L94" s="83"/>
    </row>
    <row r="95" spans="1:12" ht="105" hidden="1" x14ac:dyDescent="0.25">
      <c r="A95" s="81" t="s">
        <v>441</v>
      </c>
      <c r="B95" s="82" t="s">
        <v>168</v>
      </c>
      <c r="C95" s="81" t="s">
        <v>169</v>
      </c>
      <c r="D95" s="83">
        <v>19550000</v>
      </c>
      <c r="E95" s="83">
        <v>3450000</v>
      </c>
      <c r="F95" s="83">
        <v>23000000</v>
      </c>
      <c r="G95" s="83">
        <v>407000</v>
      </c>
      <c r="H95" s="81" t="s">
        <v>336</v>
      </c>
      <c r="I95" s="83"/>
      <c r="J95" s="83">
        <v>57</v>
      </c>
      <c r="K95" s="81" t="s">
        <v>339</v>
      </c>
      <c r="L95" s="83">
        <v>29</v>
      </c>
    </row>
    <row r="96" spans="1:12" ht="75" hidden="1" x14ac:dyDescent="0.25">
      <c r="A96" s="81" t="s">
        <v>466</v>
      </c>
      <c r="B96" s="82"/>
      <c r="C96" s="81" t="s">
        <v>407</v>
      </c>
      <c r="D96" s="83">
        <v>0</v>
      </c>
      <c r="E96" s="83">
        <v>0</v>
      </c>
      <c r="F96" s="83">
        <v>0</v>
      </c>
      <c r="G96" s="83">
        <v>0</v>
      </c>
      <c r="H96" s="81"/>
      <c r="I96" s="83"/>
      <c r="J96" s="83"/>
      <c r="K96" s="81"/>
      <c r="L96" s="83"/>
    </row>
    <row r="97" spans="1:12" ht="75" hidden="1" x14ac:dyDescent="0.25">
      <c r="A97" s="81" t="s">
        <v>453</v>
      </c>
      <c r="B97" s="82" t="s">
        <v>174</v>
      </c>
      <c r="C97" s="81" t="s">
        <v>175</v>
      </c>
      <c r="D97" s="83">
        <v>0</v>
      </c>
      <c r="E97" s="83">
        <v>0</v>
      </c>
      <c r="F97" s="83">
        <v>0</v>
      </c>
      <c r="G97" s="83">
        <v>0</v>
      </c>
      <c r="H97" s="81"/>
      <c r="I97" s="83"/>
      <c r="J97" s="83"/>
      <c r="K97" s="81"/>
      <c r="L97" s="83"/>
    </row>
    <row r="98" spans="1:12" ht="75" hidden="1" x14ac:dyDescent="0.25">
      <c r="A98" s="81" t="s">
        <v>447</v>
      </c>
      <c r="B98" s="82" t="s">
        <v>66</v>
      </c>
      <c r="C98" s="81" t="s">
        <v>67</v>
      </c>
      <c r="D98" s="83">
        <v>0</v>
      </c>
      <c r="E98" s="83">
        <v>0</v>
      </c>
      <c r="F98" s="83">
        <v>0</v>
      </c>
      <c r="G98" s="83">
        <v>0</v>
      </c>
      <c r="H98" s="81"/>
      <c r="I98" s="83"/>
      <c r="J98" s="83"/>
      <c r="K98" s="81"/>
      <c r="L98" s="83"/>
    </row>
    <row r="99" spans="1:12" s="37" customFormat="1" ht="17.25" hidden="1" customHeight="1" x14ac:dyDescent="0.25">
      <c r="A99" s="84" t="s">
        <v>391</v>
      </c>
      <c r="B99" s="40"/>
      <c r="C99" s="84" t="s">
        <v>420</v>
      </c>
      <c r="D99" s="85">
        <v>329447368</v>
      </c>
      <c r="E99" s="85">
        <v>58137771</v>
      </c>
      <c r="F99" s="85">
        <v>387585139</v>
      </c>
      <c r="G99" s="85">
        <v>15.315102956939491</v>
      </c>
      <c r="H99" s="84"/>
      <c r="I99" s="85"/>
      <c r="J99" s="85"/>
      <c r="K99" s="84"/>
      <c r="L99" s="85"/>
    </row>
    <row r="100" spans="1:12" hidden="1" x14ac:dyDescent="0.25">
      <c r="A100" s="23" t="s">
        <v>422</v>
      </c>
      <c r="B100" s="20"/>
      <c r="C100" s="23" t="s">
        <v>421</v>
      </c>
      <c r="D100" s="29">
        <v>329447368</v>
      </c>
      <c r="E100" s="29">
        <v>58137771</v>
      </c>
      <c r="F100" s="29">
        <v>387585139</v>
      </c>
      <c r="G100" s="29"/>
      <c r="H100" s="23"/>
      <c r="I100" s="29"/>
      <c r="J100" s="29"/>
      <c r="K100" s="23"/>
      <c r="L100" s="29"/>
    </row>
    <row r="101" spans="1:12" hidden="1" x14ac:dyDescent="0.25">
      <c r="A101" s="23" t="s">
        <v>401</v>
      </c>
      <c r="B101" s="20"/>
      <c r="C101" s="23"/>
      <c r="D101" s="29">
        <v>0</v>
      </c>
      <c r="E101" s="29">
        <v>0</v>
      </c>
      <c r="F101" s="29">
        <v>0</v>
      </c>
      <c r="G101" s="29"/>
      <c r="H101" s="23"/>
      <c r="I101" s="29"/>
      <c r="J101" s="29"/>
      <c r="K101" s="23"/>
      <c r="L101" s="29"/>
    </row>
    <row r="102" spans="1:12" ht="45" hidden="1" x14ac:dyDescent="0.25">
      <c r="A102" s="23" t="s">
        <v>439</v>
      </c>
      <c r="B102" s="20"/>
      <c r="C102" s="23" t="s">
        <v>402</v>
      </c>
      <c r="D102" s="29">
        <v>138341113</v>
      </c>
      <c r="E102" s="29">
        <v>24413137</v>
      </c>
      <c r="F102" s="29">
        <v>162754250</v>
      </c>
      <c r="G102" s="29">
        <v>41.991870591302522</v>
      </c>
      <c r="H102" s="23"/>
      <c r="I102" s="29"/>
      <c r="J102" s="29"/>
      <c r="K102" s="23"/>
      <c r="L102" s="29"/>
    </row>
    <row r="103" spans="1:12" ht="90" hidden="1" x14ac:dyDescent="0.25">
      <c r="A103" s="23" t="s">
        <v>449</v>
      </c>
      <c r="B103" s="20" t="s">
        <v>64</v>
      </c>
      <c r="C103" s="23" t="s">
        <v>65</v>
      </c>
      <c r="D103" s="29">
        <v>57120000</v>
      </c>
      <c r="E103" s="29">
        <v>10080000</v>
      </c>
      <c r="F103" s="29">
        <v>67200000</v>
      </c>
      <c r="G103" s="29">
        <v>1600000</v>
      </c>
      <c r="H103" s="23" t="s">
        <v>305</v>
      </c>
      <c r="I103" s="29">
        <v>7</v>
      </c>
      <c r="J103" s="29">
        <v>42</v>
      </c>
      <c r="K103" s="23" t="s">
        <v>306</v>
      </c>
      <c r="L103" s="29">
        <v>120</v>
      </c>
    </row>
    <row r="104" spans="1:12" ht="60" hidden="1" x14ac:dyDescent="0.25">
      <c r="A104" s="23"/>
      <c r="B104" s="20"/>
      <c r="C104" s="23"/>
      <c r="D104" s="29"/>
      <c r="E104" s="29"/>
      <c r="F104" s="29"/>
      <c r="G104" s="29"/>
      <c r="H104" s="23" t="s">
        <v>307</v>
      </c>
      <c r="I104" s="29">
        <v>7</v>
      </c>
      <c r="J104" s="29">
        <v>42</v>
      </c>
      <c r="K104" s="23"/>
      <c r="L104" s="29"/>
    </row>
    <row r="105" spans="1:12" ht="135" hidden="1" x14ac:dyDescent="0.25">
      <c r="A105" s="23"/>
      <c r="B105" s="20">
        <v>146</v>
      </c>
      <c r="C105" s="23" t="s">
        <v>268</v>
      </c>
      <c r="D105" s="29">
        <v>160650</v>
      </c>
      <c r="E105" s="29">
        <v>28350</v>
      </c>
      <c r="F105" s="29">
        <v>189000</v>
      </c>
      <c r="G105" s="29">
        <v>3150</v>
      </c>
      <c r="H105" s="23" t="s">
        <v>370</v>
      </c>
      <c r="I105" s="29">
        <v>10</v>
      </c>
      <c r="J105" s="29">
        <v>60</v>
      </c>
      <c r="K105" s="23" t="s">
        <v>361</v>
      </c>
      <c r="L105" s="29">
        <v>60</v>
      </c>
    </row>
    <row r="106" spans="1:12" ht="75" hidden="1" x14ac:dyDescent="0.25">
      <c r="A106" s="23" t="s">
        <v>450</v>
      </c>
      <c r="B106" s="20" t="s">
        <v>64</v>
      </c>
      <c r="C106" s="23" t="s">
        <v>65</v>
      </c>
      <c r="D106" s="29">
        <v>38798463</v>
      </c>
      <c r="E106" s="29">
        <v>6846787</v>
      </c>
      <c r="F106" s="29">
        <v>45645250</v>
      </c>
      <c r="G106" s="29">
        <v>180000</v>
      </c>
      <c r="H106" s="23" t="s">
        <v>305</v>
      </c>
      <c r="I106" s="29">
        <v>64</v>
      </c>
      <c r="J106" s="29">
        <v>254</v>
      </c>
      <c r="K106" s="23" t="s">
        <v>306</v>
      </c>
      <c r="L106" s="29">
        <v>996</v>
      </c>
    </row>
    <row r="107" spans="1:12" ht="60" hidden="1" x14ac:dyDescent="0.25">
      <c r="A107" s="23"/>
      <c r="B107" s="20"/>
      <c r="C107" s="23"/>
      <c r="D107" s="29"/>
      <c r="E107" s="29"/>
      <c r="F107" s="29"/>
      <c r="G107" s="29"/>
      <c r="H107" s="23" t="s">
        <v>307</v>
      </c>
      <c r="I107" s="29">
        <v>64</v>
      </c>
      <c r="J107" s="29">
        <v>254</v>
      </c>
      <c r="K107" s="23"/>
      <c r="L107" s="29"/>
    </row>
    <row r="108" spans="1:12" ht="60" hidden="1" x14ac:dyDescent="0.25">
      <c r="A108" s="23"/>
      <c r="B108" s="20" t="s">
        <v>72</v>
      </c>
      <c r="C108" s="23" t="s">
        <v>497</v>
      </c>
      <c r="D108" s="29">
        <v>33337000</v>
      </c>
      <c r="E108" s="29">
        <v>5883000</v>
      </c>
      <c r="F108" s="29">
        <v>39220000</v>
      </c>
      <c r="G108" s="29">
        <v>80000</v>
      </c>
      <c r="H108" s="23" t="s">
        <v>305</v>
      </c>
      <c r="I108" s="29">
        <v>123</v>
      </c>
      <c r="J108" s="29">
        <v>490</v>
      </c>
      <c r="K108" s="23" t="s">
        <v>323</v>
      </c>
      <c r="L108" s="29">
        <v>333</v>
      </c>
    </row>
    <row r="109" spans="1:12" ht="75" hidden="1" x14ac:dyDescent="0.25">
      <c r="A109" s="23"/>
      <c r="B109" s="20"/>
      <c r="C109" s="23"/>
      <c r="D109" s="29"/>
      <c r="E109" s="29"/>
      <c r="F109" s="29"/>
      <c r="G109" s="29"/>
      <c r="H109" s="23" t="s">
        <v>307</v>
      </c>
      <c r="I109" s="29">
        <v>123</v>
      </c>
      <c r="J109" s="29">
        <v>490</v>
      </c>
      <c r="K109" s="23" t="s">
        <v>306</v>
      </c>
      <c r="L109" s="29">
        <v>556</v>
      </c>
    </row>
    <row r="110" spans="1:12" ht="60" hidden="1" x14ac:dyDescent="0.25">
      <c r="A110" s="23"/>
      <c r="B110" s="20"/>
      <c r="C110" s="23"/>
      <c r="D110" s="29"/>
      <c r="E110" s="29"/>
      <c r="F110" s="29"/>
      <c r="G110" s="29"/>
      <c r="H110" s="23" t="s">
        <v>312</v>
      </c>
      <c r="I110" s="29">
        <v>123</v>
      </c>
      <c r="J110" s="29">
        <v>490</v>
      </c>
      <c r="K110" s="23"/>
      <c r="L110" s="29"/>
    </row>
    <row r="111" spans="1:12" ht="90" hidden="1" x14ac:dyDescent="0.25">
      <c r="A111" s="23" t="s">
        <v>451</v>
      </c>
      <c r="B111" s="20" t="s">
        <v>62</v>
      </c>
      <c r="C111" s="23" t="s">
        <v>63</v>
      </c>
      <c r="D111" s="29">
        <v>8925000</v>
      </c>
      <c r="E111" s="29">
        <v>1575000</v>
      </c>
      <c r="F111" s="29">
        <v>10500000</v>
      </c>
      <c r="G111" s="29">
        <v>3500000</v>
      </c>
      <c r="H111" s="23" t="s">
        <v>305</v>
      </c>
      <c r="I111" s="29">
        <v>0</v>
      </c>
      <c r="J111" s="29">
        <v>150</v>
      </c>
      <c r="K111" s="23" t="s">
        <v>325</v>
      </c>
      <c r="L111" s="29">
        <v>37.5</v>
      </c>
    </row>
    <row r="112" spans="1:12" ht="75" hidden="1" x14ac:dyDescent="0.25">
      <c r="A112" s="23"/>
      <c r="B112" s="20"/>
      <c r="C112" s="23"/>
      <c r="D112" s="29"/>
      <c r="E112" s="29"/>
      <c r="F112" s="29"/>
      <c r="G112" s="29"/>
      <c r="H112" s="23" t="s">
        <v>307</v>
      </c>
      <c r="I112" s="29">
        <v>0</v>
      </c>
      <c r="J112" s="29">
        <v>0</v>
      </c>
      <c r="K112" s="23" t="s">
        <v>306</v>
      </c>
      <c r="L112" s="29">
        <v>75</v>
      </c>
    </row>
    <row r="113" spans="1:12" ht="60" hidden="1" x14ac:dyDescent="0.25">
      <c r="A113" s="23"/>
      <c r="B113" s="20"/>
      <c r="C113" s="23"/>
      <c r="D113" s="29"/>
      <c r="E113" s="29"/>
      <c r="F113" s="29"/>
      <c r="G113" s="29"/>
      <c r="H113" s="23" t="s">
        <v>310</v>
      </c>
      <c r="I113" s="29">
        <v>0</v>
      </c>
      <c r="J113" s="29">
        <v>150</v>
      </c>
      <c r="K113" s="23"/>
      <c r="L113" s="29"/>
    </row>
    <row r="114" spans="1:12" ht="30" hidden="1" x14ac:dyDescent="0.25">
      <c r="A114" s="23" t="s">
        <v>440</v>
      </c>
      <c r="B114" s="20"/>
      <c r="C114" s="23" t="s">
        <v>406</v>
      </c>
      <c r="D114" s="29">
        <v>32334359</v>
      </c>
      <c r="E114" s="29">
        <v>5706063</v>
      </c>
      <c r="F114" s="29">
        <v>38040422</v>
      </c>
      <c r="G114" s="29">
        <v>9.8147266683514403</v>
      </c>
      <c r="H114" s="23"/>
      <c r="I114" s="29"/>
      <c r="J114" s="29"/>
      <c r="K114" s="23"/>
      <c r="L114" s="29"/>
    </row>
    <row r="115" spans="1:12" ht="135" hidden="1" x14ac:dyDescent="0.25">
      <c r="A115" s="23" t="s">
        <v>387</v>
      </c>
      <c r="B115" s="20">
        <v>139</v>
      </c>
      <c r="C115" s="23" t="s">
        <v>261</v>
      </c>
      <c r="D115" s="29">
        <v>9435510</v>
      </c>
      <c r="E115" s="29">
        <v>1665090</v>
      </c>
      <c r="F115" s="29">
        <v>11100600</v>
      </c>
      <c r="G115" s="29">
        <v>2100</v>
      </c>
      <c r="H115" s="23" t="s">
        <v>350</v>
      </c>
      <c r="I115" s="29">
        <v>0</v>
      </c>
      <c r="J115" s="29">
        <v>5286</v>
      </c>
      <c r="K115" s="23" t="s">
        <v>347</v>
      </c>
      <c r="L115" s="29">
        <v>1071</v>
      </c>
    </row>
    <row r="116" spans="1:12" hidden="1" x14ac:dyDescent="0.25">
      <c r="A116" s="23" t="s">
        <v>388</v>
      </c>
      <c r="B116" s="20"/>
      <c r="C116" s="23"/>
      <c r="D116" s="29">
        <v>527765</v>
      </c>
      <c r="E116" s="29">
        <v>93135</v>
      </c>
      <c r="F116" s="29">
        <v>620900</v>
      </c>
      <c r="G116" s="29">
        <v>620900</v>
      </c>
      <c r="H116" s="23"/>
      <c r="I116" s="29"/>
      <c r="J116" s="29">
        <v>1</v>
      </c>
      <c r="K116" s="23"/>
      <c r="L116" s="29"/>
    </row>
    <row r="117" spans="1:12" ht="135" hidden="1" x14ac:dyDescent="0.25">
      <c r="A117" s="23" t="s">
        <v>381</v>
      </c>
      <c r="B117" s="20">
        <v>146</v>
      </c>
      <c r="C117" s="23" t="s">
        <v>268</v>
      </c>
      <c r="D117" s="29">
        <v>22371084</v>
      </c>
      <c r="E117" s="29">
        <v>3947838</v>
      </c>
      <c r="F117" s="29">
        <v>26318922</v>
      </c>
      <c r="G117" s="29">
        <v>6550</v>
      </c>
      <c r="H117" s="23" t="s">
        <v>370</v>
      </c>
      <c r="I117" s="29">
        <v>1005</v>
      </c>
      <c r="J117" s="29">
        <v>4018</v>
      </c>
      <c r="K117" s="23" t="s">
        <v>361</v>
      </c>
      <c r="L117" s="29">
        <v>844</v>
      </c>
    </row>
    <row r="118" spans="1:12" ht="30" hidden="1" x14ac:dyDescent="0.25">
      <c r="A118" s="23" t="s">
        <v>457</v>
      </c>
      <c r="B118" s="20"/>
      <c r="C118" s="23" t="s">
        <v>405</v>
      </c>
      <c r="D118" s="29">
        <v>60214849</v>
      </c>
      <c r="E118" s="29">
        <v>10626151</v>
      </c>
      <c r="F118" s="29">
        <v>70841000</v>
      </c>
      <c r="G118" s="29">
        <v>18.277532565561035</v>
      </c>
      <c r="H118" s="23"/>
      <c r="I118" s="29"/>
      <c r="J118" s="29"/>
      <c r="K118" s="23"/>
      <c r="L118" s="29"/>
    </row>
    <row r="119" spans="1:12" ht="90" hidden="1" x14ac:dyDescent="0.25">
      <c r="A119" s="23" t="s">
        <v>443</v>
      </c>
      <c r="B119" s="20" t="s">
        <v>116</v>
      </c>
      <c r="C119" s="23" t="s">
        <v>117</v>
      </c>
      <c r="D119" s="29">
        <v>14118500</v>
      </c>
      <c r="E119" s="29">
        <v>2491500</v>
      </c>
      <c r="F119" s="29">
        <v>16610000</v>
      </c>
      <c r="G119" s="29">
        <v>1610000</v>
      </c>
      <c r="H119" s="23" t="s">
        <v>328</v>
      </c>
      <c r="I119" s="29">
        <v>0</v>
      </c>
      <c r="J119" s="29">
        <v>10</v>
      </c>
      <c r="K119" s="23" t="s">
        <v>330</v>
      </c>
      <c r="L119" s="29">
        <v>21000</v>
      </c>
    </row>
    <row r="120" spans="1:12" ht="90" hidden="1" x14ac:dyDescent="0.25">
      <c r="A120" s="23"/>
      <c r="B120" s="20" t="s">
        <v>118</v>
      </c>
      <c r="C120" s="23" t="s">
        <v>119</v>
      </c>
      <c r="D120" s="29">
        <v>11857500</v>
      </c>
      <c r="E120" s="29">
        <v>2092500</v>
      </c>
      <c r="F120" s="29">
        <v>13950000</v>
      </c>
      <c r="G120" s="29">
        <v>930000</v>
      </c>
      <c r="H120" s="23" t="s">
        <v>328</v>
      </c>
      <c r="I120" s="29">
        <v>0</v>
      </c>
      <c r="J120" s="29">
        <v>15</v>
      </c>
      <c r="K120" s="23" t="s">
        <v>330</v>
      </c>
      <c r="L120" s="29">
        <v>17070</v>
      </c>
    </row>
    <row r="121" spans="1:12" ht="90" hidden="1" x14ac:dyDescent="0.25">
      <c r="A121" s="23"/>
      <c r="B121" s="20" t="s">
        <v>126</v>
      </c>
      <c r="C121" s="23" t="s">
        <v>127</v>
      </c>
      <c r="D121" s="29">
        <v>0</v>
      </c>
      <c r="E121" s="29">
        <v>0</v>
      </c>
      <c r="F121" s="29">
        <v>0</v>
      </c>
      <c r="G121" s="29">
        <v>2980000</v>
      </c>
      <c r="H121" s="23" t="s">
        <v>328</v>
      </c>
      <c r="I121" s="29">
        <v>0</v>
      </c>
      <c r="J121" s="29">
        <v>0</v>
      </c>
      <c r="K121" s="23" t="s">
        <v>330</v>
      </c>
      <c r="L121" s="29">
        <v>0</v>
      </c>
    </row>
    <row r="122" spans="1:12" ht="75" hidden="1" x14ac:dyDescent="0.25">
      <c r="A122" s="23" t="s">
        <v>444</v>
      </c>
      <c r="B122" s="20" t="s">
        <v>186</v>
      </c>
      <c r="C122" s="23" t="s">
        <v>187</v>
      </c>
      <c r="D122" s="29">
        <v>8313850</v>
      </c>
      <c r="E122" s="29">
        <v>1467150</v>
      </c>
      <c r="F122" s="29">
        <v>9781000</v>
      </c>
      <c r="G122" s="29">
        <v>7450</v>
      </c>
      <c r="H122" s="23" t="s">
        <v>344</v>
      </c>
      <c r="I122" s="29">
        <v>0</v>
      </c>
      <c r="J122" s="29">
        <v>1380</v>
      </c>
      <c r="K122" s="23" t="s">
        <v>341</v>
      </c>
      <c r="L122" s="29">
        <v>181178</v>
      </c>
    </row>
    <row r="123" spans="1:12" ht="45" hidden="1" x14ac:dyDescent="0.25">
      <c r="A123" s="23"/>
      <c r="B123" s="20" t="s">
        <v>194</v>
      </c>
      <c r="C123" s="23" t="s">
        <v>195</v>
      </c>
      <c r="D123" s="29">
        <v>425000</v>
      </c>
      <c r="E123" s="29">
        <v>75000</v>
      </c>
      <c r="F123" s="29">
        <v>500000</v>
      </c>
      <c r="G123" s="29"/>
      <c r="H123" s="23" t="s">
        <v>474</v>
      </c>
      <c r="I123" s="29">
        <v>0</v>
      </c>
      <c r="J123" s="29">
        <v>40</v>
      </c>
      <c r="K123" s="23"/>
      <c r="L123" s="29"/>
    </row>
    <row r="124" spans="1:12" ht="90" hidden="1" x14ac:dyDescent="0.25">
      <c r="A124" s="23" t="s">
        <v>445</v>
      </c>
      <c r="B124" s="20" t="s">
        <v>118</v>
      </c>
      <c r="C124" s="23" t="s">
        <v>119</v>
      </c>
      <c r="D124" s="29">
        <v>25499999</v>
      </c>
      <c r="E124" s="29">
        <v>4500001</v>
      </c>
      <c r="F124" s="29">
        <v>30000000</v>
      </c>
      <c r="G124" s="29">
        <v>2086246</v>
      </c>
      <c r="H124" s="23" t="s">
        <v>328</v>
      </c>
      <c r="I124" s="29">
        <v>2.335</v>
      </c>
      <c r="J124" s="29">
        <v>14</v>
      </c>
      <c r="K124" s="23" t="s">
        <v>330</v>
      </c>
      <c r="L124" s="29">
        <v>15932</v>
      </c>
    </row>
    <row r="125" spans="1:12" ht="45" hidden="1" x14ac:dyDescent="0.25">
      <c r="A125" s="23"/>
      <c r="B125" s="20"/>
      <c r="C125" s="23"/>
      <c r="D125" s="29"/>
      <c r="E125" s="29"/>
      <c r="F125" s="29"/>
      <c r="G125" s="29"/>
      <c r="H125" s="23" t="s">
        <v>472</v>
      </c>
      <c r="I125" s="29">
        <v>467</v>
      </c>
      <c r="J125" s="29">
        <v>2800</v>
      </c>
      <c r="K125" s="23"/>
      <c r="L125" s="29"/>
    </row>
    <row r="126" spans="1:12" ht="75" hidden="1" x14ac:dyDescent="0.25">
      <c r="A126" s="23" t="s">
        <v>441</v>
      </c>
      <c r="B126" s="20"/>
      <c r="C126" s="23" t="s">
        <v>404</v>
      </c>
      <c r="D126" s="29">
        <v>7777047</v>
      </c>
      <c r="E126" s="29">
        <v>1372420</v>
      </c>
      <c r="F126" s="29">
        <v>9149467</v>
      </c>
      <c r="G126" s="29">
        <v>2.3606341108965996</v>
      </c>
      <c r="H126" s="23"/>
      <c r="I126" s="29"/>
      <c r="J126" s="29"/>
      <c r="K126" s="23"/>
      <c r="L126" s="29"/>
    </row>
    <row r="127" spans="1:12" ht="105" hidden="1" x14ac:dyDescent="0.25">
      <c r="A127" s="23" t="s">
        <v>441</v>
      </c>
      <c r="B127" s="20" t="s">
        <v>168</v>
      </c>
      <c r="C127" s="23" t="s">
        <v>169</v>
      </c>
      <c r="D127" s="29">
        <v>7777047</v>
      </c>
      <c r="E127" s="29">
        <v>1372420</v>
      </c>
      <c r="F127" s="29">
        <v>9149467</v>
      </c>
      <c r="G127" s="29">
        <v>407000</v>
      </c>
      <c r="H127" s="23" t="s">
        <v>336</v>
      </c>
      <c r="I127" s="29"/>
      <c r="J127" s="29">
        <v>22</v>
      </c>
      <c r="K127" s="23" t="s">
        <v>339</v>
      </c>
      <c r="L127" s="29">
        <v>11</v>
      </c>
    </row>
    <row r="128" spans="1:12" ht="30" hidden="1" x14ac:dyDescent="0.25">
      <c r="A128" s="23" t="s">
        <v>464</v>
      </c>
      <c r="B128" s="20"/>
      <c r="C128" s="23" t="s">
        <v>465</v>
      </c>
      <c r="D128" s="29">
        <v>90780000</v>
      </c>
      <c r="E128" s="29">
        <v>16020000</v>
      </c>
      <c r="F128" s="29">
        <v>106800000</v>
      </c>
      <c r="G128" s="29">
        <v>27.555236063888405</v>
      </c>
      <c r="H128" s="23"/>
      <c r="I128" s="29"/>
      <c r="J128" s="29"/>
      <c r="K128" s="23"/>
      <c r="L128" s="29"/>
    </row>
    <row r="129" spans="1:12" ht="60" hidden="1" x14ac:dyDescent="0.25">
      <c r="A129" s="23"/>
      <c r="B129" s="20"/>
      <c r="C129" s="23"/>
      <c r="D129" s="29"/>
      <c r="E129" s="29"/>
      <c r="F129" s="29"/>
      <c r="G129" s="29"/>
      <c r="H129" s="23" t="s">
        <v>305</v>
      </c>
      <c r="I129" s="29">
        <v>0</v>
      </c>
      <c r="J129" s="29">
        <v>1</v>
      </c>
      <c r="K129" s="23"/>
      <c r="L129" s="29"/>
    </row>
    <row r="130" spans="1:12" ht="150" hidden="1" x14ac:dyDescent="0.25">
      <c r="A130" s="23" t="s">
        <v>463</v>
      </c>
      <c r="B130" s="20" t="s">
        <v>174</v>
      </c>
      <c r="C130" s="23" t="s">
        <v>175</v>
      </c>
      <c r="D130" s="29">
        <v>59500000</v>
      </c>
      <c r="E130" s="29">
        <v>10500000</v>
      </c>
      <c r="F130" s="29">
        <v>70000000</v>
      </c>
      <c r="G130" s="29"/>
      <c r="H130" s="23" t="s">
        <v>307</v>
      </c>
      <c r="I130" s="29">
        <v>0</v>
      </c>
      <c r="J130" s="29">
        <v>1</v>
      </c>
      <c r="K130" s="23" t="s">
        <v>319</v>
      </c>
      <c r="L130" s="29">
        <v>5236000</v>
      </c>
    </row>
    <row r="131" spans="1:12" ht="135" hidden="1" x14ac:dyDescent="0.25">
      <c r="A131" s="23"/>
      <c r="B131" s="20"/>
      <c r="C131" s="23"/>
      <c r="D131" s="29"/>
      <c r="E131" s="29"/>
      <c r="F131" s="29"/>
      <c r="G131" s="29"/>
      <c r="H131" s="23" t="s">
        <v>318</v>
      </c>
      <c r="I131" s="29">
        <v>0</v>
      </c>
      <c r="J131" s="29">
        <v>1</v>
      </c>
      <c r="K131" s="23"/>
      <c r="L131" s="29"/>
    </row>
    <row r="132" spans="1:12" ht="75" hidden="1" x14ac:dyDescent="0.25">
      <c r="A132" s="23"/>
      <c r="B132" s="20"/>
      <c r="C132" s="23"/>
      <c r="D132" s="29"/>
      <c r="E132" s="29"/>
      <c r="F132" s="29"/>
      <c r="G132" s="29"/>
      <c r="H132" s="23" t="s">
        <v>307</v>
      </c>
      <c r="I132" s="29">
        <v>0</v>
      </c>
      <c r="J132" s="29">
        <v>2</v>
      </c>
      <c r="K132" s="23" t="s">
        <v>306</v>
      </c>
      <c r="L132" s="29">
        <v>194</v>
      </c>
    </row>
    <row r="133" spans="1:12" ht="75" hidden="1" x14ac:dyDescent="0.25">
      <c r="A133" s="23" t="s">
        <v>462</v>
      </c>
      <c r="B133" s="20" t="s">
        <v>66</v>
      </c>
      <c r="C133" s="23" t="s">
        <v>67</v>
      </c>
      <c r="D133" s="29">
        <v>31280000</v>
      </c>
      <c r="E133" s="29">
        <v>5520000</v>
      </c>
      <c r="F133" s="29">
        <v>36800000</v>
      </c>
      <c r="G133" s="29"/>
      <c r="H133" s="23" t="s">
        <v>305</v>
      </c>
      <c r="I133" s="29">
        <v>0</v>
      </c>
      <c r="J133" s="29">
        <v>2</v>
      </c>
      <c r="K133" s="23"/>
      <c r="L133" s="29"/>
    </row>
    <row r="134" spans="1:12" s="37" customFormat="1" ht="18.75" hidden="1" customHeight="1" x14ac:dyDescent="0.25">
      <c r="A134" s="86" t="s">
        <v>393</v>
      </c>
      <c r="B134" s="87"/>
      <c r="C134" s="86" t="s">
        <v>425</v>
      </c>
      <c r="D134" s="88">
        <v>235477760</v>
      </c>
      <c r="E134" s="88">
        <v>41554899</v>
      </c>
      <c r="F134" s="88">
        <v>277032659</v>
      </c>
      <c r="G134" s="88">
        <v>10.946714071562248</v>
      </c>
      <c r="H134" s="86"/>
      <c r="I134" s="88"/>
      <c r="J134" s="88"/>
      <c r="K134" s="86"/>
      <c r="L134" s="88"/>
    </row>
    <row r="135" spans="1:12" hidden="1" x14ac:dyDescent="0.25">
      <c r="A135" s="89" t="s">
        <v>423</v>
      </c>
      <c r="B135" s="90"/>
      <c r="C135" s="89" t="s">
        <v>424</v>
      </c>
      <c r="D135" s="91">
        <v>235477760</v>
      </c>
      <c r="E135" s="91">
        <v>41554899</v>
      </c>
      <c r="F135" s="91">
        <v>277032659</v>
      </c>
      <c r="G135" s="91"/>
      <c r="H135" s="89"/>
      <c r="I135" s="91"/>
      <c r="J135" s="91"/>
      <c r="K135" s="89"/>
      <c r="L135" s="91"/>
    </row>
    <row r="136" spans="1:12" hidden="1" x14ac:dyDescent="0.25">
      <c r="A136" s="89" t="s">
        <v>401</v>
      </c>
      <c r="B136" s="90"/>
      <c r="C136" s="89"/>
      <c r="D136" s="91">
        <v>0</v>
      </c>
      <c r="E136" s="91">
        <v>0</v>
      </c>
      <c r="F136" s="91">
        <v>0</v>
      </c>
      <c r="G136" s="91"/>
      <c r="H136" s="89"/>
      <c r="I136" s="91"/>
      <c r="J136" s="91"/>
      <c r="K136" s="89"/>
      <c r="L136" s="91"/>
    </row>
    <row r="137" spans="1:12" ht="45" hidden="1" x14ac:dyDescent="0.25">
      <c r="A137" s="89" t="s">
        <v>439</v>
      </c>
      <c r="B137" s="90"/>
      <c r="C137" s="89" t="s">
        <v>402</v>
      </c>
      <c r="D137" s="91">
        <v>144708386</v>
      </c>
      <c r="E137" s="91">
        <v>25536773</v>
      </c>
      <c r="F137" s="91">
        <v>170245159</v>
      </c>
      <c r="G137" s="91">
        <v>61.453100733513153</v>
      </c>
      <c r="H137" s="89"/>
      <c r="I137" s="91"/>
      <c r="J137" s="91"/>
      <c r="K137" s="89"/>
      <c r="L137" s="91"/>
    </row>
    <row r="138" spans="1:12" ht="90" hidden="1" x14ac:dyDescent="0.25">
      <c r="A138" s="89" t="s">
        <v>449</v>
      </c>
      <c r="B138" s="90" t="s">
        <v>64</v>
      </c>
      <c r="C138" s="89" t="s">
        <v>65</v>
      </c>
      <c r="D138" s="91">
        <v>87862086</v>
      </c>
      <c r="E138" s="91">
        <v>15505073</v>
      </c>
      <c r="F138" s="91">
        <v>103367159</v>
      </c>
      <c r="G138" s="91">
        <v>1600000</v>
      </c>
      <c r="H138" s="89" t="s">
        <v>305</v>
      </c>
      <c r="I138" s="91">
        <v>11</v>
      </c>
      <c r="J138" s="91">
        <v>65</v>
      </c>
      <c r="K138" s="89" t="s">
        <v>306</v>
      </c>
      <c r="L138" s="91">
        <v>240</v>
      </c>
    </row>
    <row r="139" spans="1:12" ht="60" hidden="1" x14ac:dyDescent="0.25">
      <c r="A139" s="89"/>
      <c r="B139" s="90"/>
      <c r="C139" s="89"/>
      <c r="D139" s="91"/>
      <c r="E139" s="91"/>
      <c r="F139" s="91"/>
      <c r="G139" s="91"/>
      <c r="H139" s="89" t="s">
        <v>307</v>
      </c>
      <c r="I139" s="91">
        <v>11</v>
      </c>
      <c r="J139" s="91">
        <v>65</v>
      </c>
      <c r="K139" s="89"/>
      <c r="L139" s="91"/>
    </row>
    <row r="140" spans="1:12" ht="135" hidden="1" x14ac:dyDescent="0.25">
      <c r="A140" s="89"/>
      <c r="B140" s="90">
        <v>146</v>
      </c>
      <c r="C140" s="89" t="s">
        <v>268</v>
      </c>
      <c r="D140" s="91">
        <v>321300</v>
      </c>
      <c r="E140" s="91">
        <v>56700</v>
      </c>
      <c r="F140" s="91">
        <v>378000</v>
      </c>
      <c r="G140" s="91">
        <v>3150</v>
      </c>
      <c r="H140" s="89" t="s">
        <v>370</v>
      </c>
      <c r="I140" s="91">
        <v>20</v>
      </c>
      <c r="J140" s="91">
        <v>120</v>
      </c>
      <c r="K140" s="89" t="s">
        <v>361</v>
      </c>
      <c r="L140" s="91">
        <v>120</v>
      </c>
    </row>
    <row r="141" spans="1:12" ht="75" hidden="1" x14ac:dyDescent="0.25">
      <c r="A141" s="89" t="s">
        <v>450</v>
      </c>
      <c r="B141" s="90" t="s">
        <v>64</v>
      </c>
      <c r="C141" s="89" t="s">
        <v>65</v>
      </c>
      <c r="D141" s="91">
        <v>30600000</v>
      </c>
      <c r="E141" s="91">
        <v>5400000</v>
      </c>
      <c r="F141" s="91">
        <v>36000000</v>
      </c>
      <c r="G141" s="91">
        <v>180000</v>
      </c>
      <c r="H141" s="89" t="s">
        <v>305</v>
      </c>
      <c r="I141" s="91">
        <v>50</v>
      </c>
      <c r="J141" s="91">
        <v>200</v>
      </c>
      <c r="K141" s="89" t="s">
        <v>306</v>
      </c>
      <c r="L141" s="91">
        <v>840</v>
      </c>
    </row>
    <row r="142" spans="1:12" ht="60" hidden="1" x14ac:dyDescent="0.25">
      <c r="A142" s="89"/>
      <c r="B142" s="90"/>
      <c r="C142" s="89"/>
      <c r="D142" s="91"/>
      <c r="E142" s="91"/>
      <c r="F142" s="91"/>
      <c r="G142" s="91"/>
      <c r="H142" s="89" t="s">
        <v>307</v>
      </c>
      <c r="I142" s="91">
        <v>50</v>
      </c>
      <c r="J142" s="91">
        <v>200</v>
      </c>
      <c r="K142" s="89"/>
      <c r="L142" s="91"/>
    </row>
    <row r="143" spans="1:12" ht="60" hidden="1" x14ac:dyDescent="0.25">
      <c r="A143" s="89"/>
      <c r="B143" s="90" t="s">
        <v>72</v>
      </c>
      <c r="C143" s="89" t="s">
        <v>497</v>
      </c>
      <c r="D143" s="91">
        <v>17000000</v>
      </c>
      <c r="E143" s="91">
        <v>3000000</v>
      </c>
      <c r="F143" s="91">
        <v>20000000</v>
      </c>
      <c r="G143" s="91">
        <v>80000</v>
      </c>
      <c r="H143" s="89" t="s">
        <v>305</v>
      </c>
      <c r="I143" s="91">
        <v>63</v>
      </c>
      <c r="J143" s="91">
        <v>250</v>
      </c>
      <c r="K143" s="89" t="s">
        <v>323</v>
      </c>
      <c r="L143" s="91">
        <v>170</v>
      </c>
    </row>
    <row r="144" spans="1:12" ht="75" hidden="1" x14ac:dyDescent="0.25">
      <c r="A144" s="89"/>
      <c r="B144" s="90"/>
      <c r="C144" s="89"/>
      <c r="D144" s="91"/>
      <c r="E144" s="91"/>
      <c r="F144" s="91"/>
      <c r="G144" s="91"/>
      <c r="H144" s="89" t="s">
        <v>307</v>
      </c>
      <c r="I144" s="91">
        <v>63</v>
      </c>
      <c r="J144" s="91">
        <v>250</v>
      </c>
      <c r="K144" s="89" t="s">
        <v>306</v>
      </c>
      <c r="L144" s="91">
        <v>445</v>
      </c>
    </row>
    <row r="145" spans="1:12" ht="60" hidden="1" x14ac:dyDescent="0.25">
      <c r="A145" s="89"/>
      <c r="B145" s="90"/>
      <c r="C145" s="89"/>
      <c r="D145" s="91"/>
      <c r="E145" s="91"/>
      <c r="F145" s="91"/>
      <c r="G145" s="91"/>
      <c r="H145" s="89" t="s">
        <v>312</v>
      </c>
      <c r="I145" s="91">
        <v>63</v>
      </c>
      <c r="J145" s="91">
        <v>250</v>
      </c>
      <c r="K145" s="89"/>
      <c r="L145" s="91"/>
    </row>
    <row r="146" spans="1:12" ht="90" hidden="1" x14ac:dyDescent="0.25">
      <c r="A146" s="89" t="s">
        <v>451</v>
      </c>
      <c r="B146" s="90" t="s">
        <v>62</v>
      </c>
      <c r="C146" s="89" t="s">
        <v>63</v>
      </c>
      <c r="D146" s="91">
        <v>8925000</v>
      </c>
      <c r="E146" s="91">
        <v>1575000</v>
      </c>
      <c r="F146" s="91">
        <v>10500000</v>
      </c>
      <c r="G146" s="91">
        <v>3500000</v>
      </c>
      <c r="H146" s="89" t="s">
        <v>305</v>
      </c>
      <c r="I146" s="91">
        <v>0</v>
      </c>
      <c r="J146" s="91">
        <v>150</v>
      </c>
      <c r="K146" s="89" t="s">
        <v>325</v>
      </c>
      <c r="L146" s="91">
        <v>38</v>
      </c>
    </row>
    <row r="147" spans="1:12" ht="75" hidden="1" x14ac:dyDescent="0.25">
      <c r="A147" s="89"/>
      <c r="B147" s="90"/>
      <c r="C147" s="89"/>
      <c r="D147" s="91"/>
      <c r="E147" s="91"/>
      <c r="F147" s="91"/>
      <c r="G147" s="91"/>
      <c r="H147" s="89" t="s">
        <v>307</v>
      </c>
      <c r="I147" s="91">
        <v>0</v>
      </c>
      <c r="J147" s="91"/>
      <c r="K147" s="89" t="s">
        <v>306</v>
      </c>
      <c r="L147" s="91">
        <v>75</v>
      </c>
    </row>
    <row r="148" spans="1:12" ht="60" hidden="1" x14ac:dyDescent="0.25">
      <c r="A148" s="89"/>
      <c r="B148" s="90"/>
      <c r="C148" s="89"/>
      <c r="D148" s="91"/>
      <c r="E148" s="91"/>
      <c r="F148" s="91"/>
      <c r="G148" s="91"/>
      <c r="H148" s="89" t="s">
        <v>310</v>
      </c>
      <c r="I148" s="91">
        <v>0</v>
      </c>
      <c r="J148" s="91">
        <v>150</v>
      </c>
      <c r="K148" s="89"/>
      <c r="L148" s="91"/>
    </row>
    <row r="149" spans="1:12" ht="30" hidden="1" x14ac:dyDescent="0.25">
      <c r="A149" s="89" t="s">
        <v>440</v>
      </c>
      <c r="B149" s="90"/>
      <c r="C149" s="89" t="s">
        <v>406</v>
      </c>
      <c r="D149" s="91">
        <v>26963275</v>
      </c>
      <c r="E149" s="91">
        <v>4758225</v>
      </c>
      <c r="F149" s="91">
        <v>31721500</v>
      </c>
      <c r="G149" s="91">
        <v>11.450455016569004</v>
      </c>
      <c r="H149" s="89"/>
      <c r="I149" s="91"/>
      <c r="J149" s="91"/>
      <c r="K149" s="89"/>
      <c r="L149" s="91"/>
    </row>
    <row r="150" spans="1:12" ht="135" hidden="1" x14ac:dyDescent="0.25">
      <c r="A150" s="89" t="s">
        <v>387</v>
      </c>
      <c r="B150" s="90">
        <v>139</v>
      </c>
      <c r="C150" s="89" t="s">
        <v>261</v>
      </c>
      <c r="D150" s="91">
        <v>9435510</v>
      </c>
      <c r="E150" s="91">
        <v>1665090</v>
      </c>
      <c r="F150" s="91">
        <v>11100600</v>
      </c>
      <c r="G150" s="91">
        <v>2100</v>
      </c>
      <c r="H150" s="89" t="s">
        <v>350</v>
      </c>
      <c r="I150" s="91">
        <v>0</v>
      </c>
      <c r="J150" s="91">
        <v>5286</v>
      </c>
      <c r="K150" s="89" t="s">
        <v>347</v>
      </c>
      <c r="L150" s="91">
        <v>1071</v>
      </c>
    </row>
    <row r="151" spans="1:12" hidden="1" x14ac:dyDescent="0.25">
      <c r="A151" s="89" t="s">
        <v>388</v>
      </c>
      <c r="B151" s="90"/>
      <c r="C151" s="89"/>
      <c r="D151" s="91">
        <v>527765</v>
      </c>
      <c r="E151" s="91">
        <v>93135</v>
      </c>
      <c r="F151" s="91">
        <v>620900</v>
      </c>
      <c r="G151" s="91">
        <v>620900</v>
      </c>
      <c r="H151" s="89"/>
      <c r="I151" s="91"/>
      <c r="J151" s="91">
        <v>1</v>
      </c>
      <c r="K151" s="89"/>
      <c r="L151" s="91"/>
    </row>
    <row r="152" spans="1:12" ht="135" hidden="1" x14ac:dyDescent="0.25">
      <c r="A152" s="89" t="s">
        <v>381</v>
      </c>
      <c r="B152" s="90">
        <v>146</v>
      </c>
      <c r="C152" s="89" t="s">
        <v>268</v>
      </c>
      <c r="D152" s="91">
        <v>17000000</v>
      </c>
      <c r="E152" s="91">
        <v>3000000</v>
      </c>
      <c r="F152" s="91">
        <v>20000000</v>
      </c>
      <c r="G152" s="91">
        <v>6550</v>
      </c>
      <c r="H152" s="89" t="s">
        <v>370</v>
      </c>
      <c r="I152" s="91">
        <v>763</v>
      </c>
      <c r="J152" s="91">
        <v>3053</v>
      </c>
      <c r="K152" s="89" t="s">
        <v>361</v>
      </c>
      <c r="L152" s="91">
        <v>641</v>
      </c>
    </row>
    <row r="153" spans="1:12" ht="30" hidden="1" x14ac:dyDescent="0.25">
      <c r="A153" s="89" t="s">
        <v>461</v>
      </c>
      <c r="B153" s="90"/>
      <c r="C153" s="89" t="s">
        <v>405</v>
      </c>
      <c r="D153" s="91">
        <v>57006099</v>
      </c>
      <c r="E153" s="91">
        <v>10059901</v>
      </c>
      <c r="F153" s="91">
        <v>67066000</v>
      </c>
      <c r="G153" s="91">
        <v>24.208698079889562</v>
      </c>
      <c r="H153" s="89"/>
      <c r="I153" s="91"/>
      <c r="J153" s="91"/>
      <c r="K153" s="89"/>
      <c r="L153" s="91"/>
    </row>
    <row r="154" spans="1:12" ht="90" hidden="1" x14ac:dyDescent="0.25">
      <c r="A154" s="89" t="s">
        <v>443</v>
      </c>
      <c r="B154" s="90" t="s">
        <v>116</v>
      </c>
      <c r="C154" s="89" t="s">
        <v>117</v>
      </c>
      <c r="D154" s="91">
        <v>4105500</v>
      </c>
      <c r="E154" s="91">
        <v>724500</v>
      </c>
      <c r="F154" s="91">
        <v>4830000</v>
      </c>
      <c r="G154" s="91">
        <v>1610000</v>
      </c>
      <c r="H154" s="89" t="s">
        <v>328</v>
      </c>
      <c r="I154" s="91">
        <v>0</v>
      </c>
      <c r="J154" s="91">
        <v>3</v>
      </c>
      <c r="K154" s="89" t="s">
        <v>330</v>
      </c>
      <c r="L154" s="91">
        <v>6300</v>
      </c>
    </row>
    <row r="155" spans="1:12" ht="90" hidden="1" x14ac:dyDescent="0.25">
      <c r="A155" s="89"/>
      <c r="B155" s="90" t="s">
        <v>118</v>
      </c>
      <c r="C155" s="89" t="s">
        <v>119</v>
      </c>
      <c r="D155" s="91">
        <v>11857500</v>
      </c>
      <c r="E155" s="91">
        <v>2092500</v>
      </c>
      <c r="F155" s="91">
        <v>13950000</v>
      </c>
      <c r="G155" s="91">
        <v>930000</v>
      </c>
      <c r="H155" s="89" t="s">
        <v>328</v>
      </c>
      <c r="I155" s="91">
        <v>0</v>
      </c>
      <c r="J155" s="91">
        <v>15</v>
      </c>
      <c r="K155" s="89" t="s">
        <v>330</v>
      </c>
      <c r="L155" s="91">
        <v>17070</v>
      </c>
    </row>
    <row r="156" spans="1:12" ht="90" hidden="1" x14ac:dyDescent="0.25">
      <c r="A156" s="89"/>
      <c r="B156" s="90" t="s">
        <v>126</v>
      </c>
      <c r="C156" s="89" t="s">
        <v>127</v>
      </c>
      <c r="D156" s="91">
        <v>12665000</v>
      </c>
      <c r="E156" s="91">
        <v>2235000</v>
      </c>
      <c r="F156" s="91">
        <v>14900000</v>
      </c>
      <c r="G156" s="91">
        <v>2980000</v>
      </c>
      <c r="H156" s="89" t="s">
        <v>328</v>
      </c>
      <c r="I156" s="91">
        <v>0</v>
      </c>
      <c r="J156" s="91">
        <v>5</v>
      </c>
      <c r="K156" s="89" t="s">
        <v>330</v>
      </c>
      <c r="L156" s="91">
        <v>5685</v>
      </c>
    </row>
    <row r="157" spans="1:12" ht="75" hidden="1" x14ac:dyDescent="0.25">
      <c r="A157" s="89" t="s">
        <v>444</v>
      </c>
      <c r="B157" s="90" t="s">
        <v>186</v>
      </c>
      <c r="C157" s="89" t="s">
        <v>187</v>
      </c>
      <c r="D157" s="91">
        <v>8313850</v>
      </c>
      <c r="E157" s="91">
        <v>1467150</v>
      </c>
      <c r="F157" s="91">
        <v>9781000</v>
      </c>
      <c r="G157" s="91">
        <v>7450</v>
      </c>
      <c r="H157" s="89" t="s">
        <v>344</v>
      </c>
      <c r="I157" s="91"/>
      <c r="J157" s="91">
        <v>1380</v>
      </c>
      <c r="K157" s="89" t="s">
        <v>341</v>
      </c>
      <c r="L157" s="91">
        <v>181178</v>
      </c>
    </row>
    <row r="158" spans="1:12" ht="45" hidden="1" x14ac:dyDescent="0.25">
      <c r="A158" s="89"/>
      <c r="B158" s="90" t="s">
        <v>194</v>
      </c>
      <c r="C158" s="89" t="s">
        <v>195</v>
      </c>
      <c r="D158" s="91">
        <v>425000</v>
      </c>
      <c r="E158" s="91">
        <v>75000</v>
      </c>
      <c r="F158" s="91">
        <v>500000</v>
      </c>
      <c r="G158" s="91"/>
      <c r="H158" s="89" t="s">
        <v>474</v>
      </c>
      <c r="I158" s="91">
        <v>0</v>
      </c>
      <c r="J158" s="91">
        <v>40</v>
      </c>
      <c r="K158" s="89"/>
      <c r="L158" s="91"/>
    </row>
    <row r="159" spans="1:12" ht="90" hidden="1" x14ac:dyDescent="0.25">
      <c r="A159" s="89" t="s">
        <v>445</v>
      </c>
      <c r="B159" s="90" t="s">
        <v>118</v>
      </c>
      <c r="C159" s="89" t="s">
        <v>119</v>
      </c>
      <c r="D159" s="91">
        <v>19639249</v>
      </c>
      <c r="E159" s="91">
        <v>3465751</v>
      </c>
      <c r="F159" s="91">
        <v>23105000</v>
      </c>
      <c r="G159" s="91">
        <v>2086257</v>
      </c>
      <c r="H159" s="89" t="s">
        <v>328</v>
      </c>
      <c r="I159" s="91">
        <v>2</v>
      </c>
      <c r="J159" s="91">
        <v>11</v>
      </c>
      <c r="K159" s="89" t="s">
        <v>330</v>
      </c>
      <c r="L159" s="91">
        <v>12518</v>
      </c>
    </row>
    <row r="160" spans="1:12" ht="45" hidden="1" x14ac:dyDescent="0.25">
      <c r="A160" s="89"/>
      <c r="B160" s="90"/>
      <c r="C160" s="89"/>
      <c r="D160" s="91"/>
      <c r="E160" s="91"/>
      <c r="F160" s="91"/>
      <c r="G160" s="91"/>
      <c r="H160" s="89" t="s">
        <v>472</v>
      </c>
      <c r="I160" s="91">
        <v>367</v>
      </c>
      <c r="J160" s="91">
        <v>2200</v>
      </c>
      <c r="K160" s="89"/>
      <c r="L160" s="91"/>
    </row>
    <row r="161" spans="1:16" ht="75" hidden="1" x14ac:dyDescent="0.25">
      <c r="A161" s="89" t="s">
        <v>441</v>
      </c>
      <c r="B161" s="90"/>
      <c r="C161" s="89" t="s">
        <v>404</v>
      </c>
      <c r="D161" s="91">
        <v>6800000</v>
      </c>
      <c r="E161" s="91">
        <v>1200000</v>
      </c>
      <c r="F161" s="91">
        <v>8000000</v>
      </c>
      <c r="G161" s="91">
        <v>2.887746170028278</v>
      </c>
      <c r="H161" s="89"/>
      <c r="I161" s="91"/>
      <c r="J161" s="91"/>
      <c r="K161" s="89"/>
      <c r="L161" s="91"/>
    </row>
    <row r="162" spans="1:16" ht="105" hidden="1" x14ac:dyDescent="0.25">
      <c r="A162" s="89" t="s">
        <v>441</v>
      </c>
      <c r="B162" s="90" t="s">
        <v>168</v>
      </c>
      <c r="C162" s="89" t="s">
        <v>169</v>
      </c>
      <c r="D162" s="91">
        <v>6800000</v>
      </c>
      <c r="E162" s="91">
        <v>1200000</v>
      </c>
      <c r="F162" s="91">
        <v>8000000</v>
      </c>
      <c r="G162" s="91">
        <v>407000</v>
      </c>
      <c r="H162" s="89" t="s">
        <v>336</v>
      </c>
      <c r="I162" s="91"/>
      <c r="J162" s="91">
        <v>20</v>
      </c>
      <c r="K162" s="89" t="s">
        <v>339</v>
      </c>
      <c r="L162" s="91">
        <v>10</v>
      </c>
    </row>
    <row r="163" spans="1:16" ht="75" hidden="1" x14ac:dyDescent="0.25">
      <c r="A163" s="89" t="s">
        <v>460</v>
      </c>
      <c r="B163" s="90"/>
      <c r="C163" s="89" t="s">
        <v>407</v>
      </c>
      <c r="D163" s="91">
        <v>0</v>
      </c>
      <c r="E163" s="91">
        <v>0</v>
      </c>
      <c r="F163" s="91">
        <v>0</v>
      </c>
      <c r="G163" s="91">
        <v>0</v>
      </c>
      <c r="H163" s="89"/>
      <c r="I163" s="91"/>
      <c r="J163" s="91"/>
      <c r="K163" s="89"/>
      <c r="L163" s="91"/>
    </row>
    <row r="164" spans="1:16" ht="75" hidden="1" x14ac:dyDescent="0.25">
      <c r="A164" s="89" t="s">
        <v>459</v>
      </c>
      <c r="B164" s="90" t="s">
        <v>174</v>
      </c>
      <c r="C164" s="89" t="s">
        <v>175</v>
      </c>
      <c r="D164" s="91">
        <v>0</v>
      </c>
      <c r="E164" s="91">
        <v>0</v>
      </c>
      <c r="F164" s="91">
        <v>0</v>
      </c>
      <c r="G164" s="91"/>
      <c r="H164" s="89"/>
      <c r="I164" s="91"/>
      <c r="J164" s="91"/>
      <c r="K164" s="89"/>
      <c r="L164" s="91"/>
    </row>
    <row r="165" spans="1:16" ht="75" hidden="1" x14ac:dyDescent="0.25">
      <c r="A165" s="89" t="s">
        <v>447</v>
      </c>
      <c r="B165" s="90" t="s">
        <v>66</v>
      </c>
      <c r="C165" s="89" t="s">
        <v>67</v>
      </c>
      <c r="D165" s="91">
        <v>0</v>
      </c>
      <c r="E165" s="91">
        <v>0</v>
      </c>
      <c r="F165" s="91">
        <v>0</v>
      </c>
      <c r="G165" s="91">
        <v>0</v>
      </c>
      <c r="H165" s="89"/>
      <c r="I165" s="91"/>
      <c r="J165" s="91"/>
      <c r="K165" s="89"/>
      <c r="L165" s="91"/>
    </row>
    <row r="166" spans="1:16" s="37" customFormat="1" ht="18" hidden="1" customHeight="1" x14ac:dyDescent="0.25">
      <c r="A166" s="86" t="s">
        <v>392</v>
      </c>
      <c r="B166" s="87"/>
      <c r="C166" s="86" t="s">
        <v>426</v>
      </c>
      <c r="D166" s="88">
        <v>235477760</v>
      </c>
      <c r="E166" s="88">
        <v>41554899</v>
      </c>
      <c r="F166" s="88">
        <v>277032659</v>
      </c>
      <c r="G166" s="88">
        <v>10.946714071562248</v>
      </c>
      <c r="H166" s="86"/>
      <c r="I166" s="88"/>
      <c r="J166" s="88"/>
      <c r="K166" s="86"/>
      <c r="L166" s="88"/>
    </row>
    <row r="167" spans="1:16" ht="20.25" hidden="1" customHeight="1" x14ac:dyDescent="0.25">
      <c r="A167" s="92" t="s">
        <v>428</v>
      </c>
      <c r="B167" s="93"/>
      <c r="C167" s="92" t="s">
        <v>427</v>
      </c>
      <c r="D167" s="94">
        <v>235477760</v>
      </c>
      <c r="E167" s="94">
        <v>41554899</v>
      </c>
      <c r="F167" s="94">
        <v>277032659</v>
      </c>
      <c r="G167" s="94"/>
      <c r="H167" s="92"/>
      <c r="I167" s="94"/>
      <c r="J167" s="94"/>
      <c r="K167" s="92"/>
      <c r="L167" s="94"/>
    </row>
    <row r="168" spans="1:16" hidden="1" x14ac:dyDescent="0.25">
      <c r="A168" s="92" t="s">
        <v>401</v>
      </c>
      <c r="B168" s="93"/>
      <c r="C168" s="92"/>
      <c r="D168" s="95">
        <v>0</v>
      </c>
      <c r="E168" s="95">
        <v>0</v>
      </c>
      <c r="F168" s="95">
        <v>0</v>
      </c>
      <c r="G168" s="95"/>
      <c r="H168" s="92"/>
      <c r="I168" s="95"/>
      <c r="J168" s="95"/>
      <c r="K168" s="92"/>
      <c r="L168" s="95"/>
    </row>
    <row r="169" spans="1:16" ht="45" hidden="1" x14ac:dyDescent="0.25">
      <c r="A169" s="92" t="s">
        <v>439</v>
      </c>
      <c r="B169" s="93"/>
      <c r="C169" s="92"/>
      <c r="D169" s="95">
        <v>126154989</v>
      </c>
      <c r="E169" s="95">
        <v>22262645</v>
      </c>
      <c r="F169" s="95">
        <v>148417634</v>
      </c>
      <c r="G169" s="95">
        <v>53.574056768519846</v>
      </c>
      <c r="H169" s="92"/>
      <c r="I169" s="95"/>
      <c r="J169" s="95"/>
      <c r="K169" s="92"/>
      <c r="L169" s="95"/>
    </row>
    <row r="170" spans="1:16" ht="90" hidden="1" x14ac:dyDescent="0.25">
      <c r="A170" s="92" t="s">
        <v>449</v>
      </c>
      <c r="B170" s="93" t="s">
        <v>64</v>
      </c>
      <c r="C170" s="92" t="s">
        <v>65</v>
      </c>
      <c r="D170" s="95">
        <v>67975902</v>
      </c>
      <c r="E170" s="95">
        <v>11995748</v>
      </c>
      <c r="F170" s="95">
        <v>79971650</v>
      </c>
      <c r="G170" s="95">
        <v>1600000</v>
      </c>
      <c r="H170" s="92" t="s">
        <v>305</v>
      </c>
      <c r="I170" s="95">
        <v>8</v>
      </c>
      <c r="J170" s="95">
        <v>50</v>
      </c>
      <c r="K170" s="92" t="s">
        <v>306</v>
      </c>
      <c r="L170" s="95">
        <v>150</v>
      </c>
      <c r="P170" s="15"/>
    </row>
    <row r="171" spans="1:16" ht="60" hidden="1" x14ac:dyDescent="0.25">
      <c r="A171" s="92"/>
      <c r="B171" s="93"/>
      <c r="C171" s="92"/>
      <c r="D171" s="95"/>
      <c r="E171" s="95">
        <v>0</v>
      </c>
      <c r="F171" s="95"/>
      <c r="G171" s="95"/>
      <c r="H171" s="92" t="s">
        <v>307</v>
      </c>
      <c r="I171" s="95">
        <v>8</v>
      </c>
      <c r="J171" s="95">
        <v>50</v>
      </c>
      <c r="K171" s="92"/>
      <c r="L171" s="95"/>
    </row>
    <row r="172" spans="1:16" ht="135" hidden="1" x14ac:dyDescent="0.25">
      <c r="A172" s="92"/>
      <c r="B172" s="93">
        <v>146</v>
      </c>
      <c r="C172" s="92" t="s">
        <v>268</v>
      </c>
      <c r="D172" s="95">
        <v>200813</v>
      </c>
      <c r="E172" s="95">
        <v>35437</v>
      </c>
      <c r="F172" s="95">
        <v>236250</v>
      </c>
      <c r="G172" s="95">
        <v>3150</v>
      </c>
      <c r="H172" s="92" t="s">
        <v>370</v>
      </c>
      <c r="I172" s="95">
        <v>13</v>
      </c>
      <c r="J172" s="95">
        <v>75</v>
      </c>
      <c r="K172" s="92" t="s">
        <v>361</v>
      </c>
      <c r="L172" s="95">
        <v>75</v>
      </c>
    </row>
    <row r="173" spans="1:16" ht="75" hidden="1" x14ac:dyDescent="0.25">
      <c r="A173" s="92" t="s">
        <v>450</v>
      </c>
      <c r="B173" s="93" t="s">
        <v>64</v>
      </c>
      <c r="C173" s="92" t="s">
        <v>65</v>
      </c>
      <c r="D173" s="95">
        <v>27115000</v>
      </c>
      <c r="E173" s="95">
        <v>4785000</v>
      </c>
      <c r="F173" s="95">
        <v>31900000</v>
      </c>
      <c r="G173" s="95">
        <v>180000</v>
      </c>
      <c r="H173" s="92" t="s">
        <v>305</v>
      </c>
      <c r="I173" s="95">
        <v>44</v>
      </c>
      <c r="J173" s="95">
        <v>177</v>
      </c>
      <c r="K173" s="92" t="s">
        <v>306</v>
      </c>
      <c r="L173" s="95">
        <v>714</v>
      </c>
    </row>
    <row r="174" spans="1:16" ht="60" hidden="1" x14ac:dyDescent="0.25">
      <c r="A174" s="92"/>
      <c r="B174" s="93"/>
      <c r="C174" s="92"/>
      <c r="D174" s="95"/>
      <c r="E174" s="95">
        <v>0</v>
      </c>
      <c r="F174" s="95"/>
      <c r="G174" s="95"/>
      <c r="H174" s="92" t="s">
        <v>307</v>
      </c>
      <c r="I174" s="95">
        <v>44</v>
      </c>
      <c r="J174" s="95">
        <v>177</v>
      </c>
      <c r="K174" s="92"/>
      <c r="L174" s="95"/>
    </row>
    <row r="175" spans="1:16" ht="60" hidden="1" x14ac:dyDescent="0.25">
      <c r="A175" s="92"/>
      <c r="B175" s="93" t="s">
        <v>72</v>
      </c>
      <c r="C175" s="92" t="s">
        <v>497</v>
      </c>
      <c r="D175" s="95">
        <v>18963274</v>
      </c>
      <c r="E175" s="95">
        <v>3346460</v>
      </c>
      <c r="F175" s="95">
        <v>22309734</v>
      </c>
      <c r="G175" s="95">
        <v>80000</v>
      </c>
      <c r="H175" s="92" t="s">
        <v>305</v>
      </c>
      <c r="I175" s="95">
        <v>70</v>
      </c>
      <c r="J175" s="95">
        <v>279</v>
      </c>
      <c r="K175" s="92" t="s">
        <v>323</v>
      </c>
      <c r="L175" s="95">
        <v>190</v>
      </c>
    </row>
    <row r="176" spans="1:16" ht="75" hidden="1" x14ac:dyDescent="0.25">
      <c r="A176" s="92"/>
      <c r="B176" s="93"/>
      <c r="C176" s="92"/>
      <c r="D176" s="95"/>
      <c r="E176" s="95">
        <v>0</v>
      </c>
      <c r="F176" s="95"/>
      <c r="G176" s="95"/>
      <c r="H176" s="92" t="s">
        <v>307</v>
      </c>
      <c r="I176" s="95">
        <v>70</v>
      </c>
      <c r="J176" s="95">
        <v>279</v>
      </c>
      <c r="K176" s="92" t="s">
        <v>306</v>
      </c>
      <c r="L176" s="95">
        <v>378</v>
      </c>
    </row>
    <row r="177" spans="1:12" ht="60" hidden="1" x14ac:dyDescent="0.25">
      <c r="A177" s="92"/>
      <c r="B177" s="93"/>
      <c r="C177" s="92"/>
      <c r="D177" s="95"/>
      <c r="E177" s="95">
        <v>0</v>
      </c>
      <c r="F177" s="95"/>
      <c r="G177" s="95"/>
      <c r="H177" s="92" t="s">
        <v>312</v>
      </c>
      <c r="I177" s="95">
        <v>70</v>
      </c>
      <c r="J177" s="95">
        <v>279</v>
      </c>
      <c r="K177" s="92"/>
      <c r="L177" s="95"/>
    </row>
    <row r="178" spans="1:12" ht="90" hidden="1" x14ac:dyDescent="0.25">
      <c r="A178" s="92" t="s">
        <v>451</v>
      </c>
      <c r="B178" s="93" t="s">
        <v>62</v>
      </c>
      <c r="C178" s="92" t="s">
        <v>63</v>
      </c>
      <c r="D178" s="95">
        <v>11900000</v>
      </c>
      <c r="E178" s="95">
        <v>2100000</v>
      </c>
      <c r="F178" s="95">
        <v>14000000</v>
      </c>
      <c r="G178" s="95">
        <v>3500000</v>
      </c>
      <c r="H178" s="92" t="s">
        <v>305</v>
      </c>
      <c r="I178" s="95">
        <v>0</v>
      </c>
      <c r="J178" s="95">
        <v>200</v>
      </c>
      <c r="K178" s="92" t="s">
        <v>325</v>
      </c>
      <c r="L178" s="95">
        <v>50</v>
      </c>
    </row>
    <row r="179" spans="1:12" ht="75" hidden="1" x14ac:dyDescent="0.25">
      <c r="A179" s="92"/>
      <c r="B179" s="93"/>
      <c r="C179" s="92"/>
      <c r="D179" s="95"/>
      <c r="E179" s="95">
        <v>0</v>
      </c>
      <c r="F179" s="95"/>
      <c r="G179" s="95"/>
      <c r="H179" s="92" t="s">
        <v>307</v>
      </c>
      <c r="I179" s="95"/>
      <c r="J179" s="95">
        <v>0</v>
      </c>
      <c r="K179" s="92" t="s">
        <v>306</v>
      </c>
      <c r="L179" s="95">
        <v>100</v>
      </c>
    </row>
    <row r="180" spans="1:12" ht="60" hidden="1" x14ac:dyDescent="0.25">
      <c r="A180" s="92"/>
      <c r="B180" s="93"/>
      <c r="C180" s="92"/>
      <c r="D180" s="95"/>
      <c r="E180" s="95">
        <v>0</v>
      </c>
      <c r="F180" s="95"/>
      <c r="G180" s="95"/>
      <c r="H180" s="92" t="s">
        <v>310</v>
      </c>
      <c r="I180" s="95">
        <v>0</v>
      </c>
      <c r="J180" s="95">
        <v>200</v>
      </c>
      <c r="K180" s="92"/>
      <c r="L180" s="95"/>
    </row>
    <row r="181" spans="1:12" ht="30" hidden="1" x14ac:dyDescent="0.25">
      <c r="A181" s="92" t="s">
        <v>440</v>
      </c>
      <c r="B181" s="93"/>
      <c r="C181" s="92"/>
      <c r="D181" s="95">
        <v>29211525</v>
      </c>
      <c r="E181" s="95">
        <v>5154975</v>
      </c>
      <c r="F181" s="95">
        <v>34366500</v>
      </c>
      <c r="G181" s="95">
        <v>12.405216094034603</v>
      </c>
      <c r="H181" s="92"/>
      <c r="I181" s="95"/>
      <c r="J181" s="95"/>
      <c r="K181" s="92"/>
      <c r="L181" s="95"/>
    </row>
    <row r="182" spans="1:12" ht="135" hidden="1" x14ac:dyDescent="0.25">
      <c r="A182" s="92" t="s">
        <v>387</v>
      </c>
      <c r="B182" s="93">
        <v>139</v>
      </c>
      <c r="C182" s="92" t="s">
        <v>261</v>
      </c>
      <c r="D182" s="95">
        <v>9435510</v>
      </c>
      <c r="E182" s="95">
        <v>1665090</v>
      </c>
      <c r="F182" s="95">
        <v>11100600</v>
      </c>
      <c r="G182" s="95">
        <v>2100</v>
      </c>
      <c r="H182" s="92" t="s">
        <v>350</v>
      </c>
      <c r="I182" s="95">
        <v>0</v>
      </c>
      <c r="J182" s="95">
        <v>5286</v>
      </c>
      <c r="K182" s="92" t="s">
        <v>347</v>
      </c>
      <c r="L182" s="95">
        <v>1071</v>
      </c>
    </row>
    <row r="183" spans="1:12" hidden="1" x14ac:dyDescent="0.25">
      <c r="A183" s="92" t="s">
        <v>388</v>
      </c>
      <c r="B183" s="93"/>
      <c r="C183" s="92"/>
      <c r="D183" s="95">
        <v>527765</v>
      </c>
      <c r="E183" s="95">
        <v>93135</v>
      </c>
      <c r="F183" s="95">
        <v>620900</v>
      </c>
      <c r="G183" s="95">
        <v>620900</v>
      </c>
      <c r="H183" s="92"/>
      <c r="I183" s="95"/>
      <c r="J183" s="95">
        <v>1</v>
      </c>
      <c r="K183" s="92"/>
      <c r="L183" s="95"/>
    </row>
    <row r="184" spans="1:12" ht="135" hidden="1" x14ac:dyDescent="0.25">
      <c r="A184" s="92" t="s">
        <v>381</v>
      </c>
      <c r="B184" s="93">
        <v>146</v>
      </c>
      <c r="C184" s="92" t="s">
        <v>268</v>
      </c>
      <c r="D184" s="95">
        <v>19248250</v>
      </c>
      <c r="E184" s="95">
        <v>3396750</v>
      </c>
      <c r="F184" s="95">
        <v>22645000</v>
      </c>
      <c r="G184" s="95">
        <v>6550</v>
      </c>
      <c r="H184" s="92" t="s">
        <v>370</v>
      </c>
      <c r="I184" s="95">
        <v>864</v>
      </c>
      <c r="J184" s="95">
        <v>3457</v>
      </c>
      <c r="K184" s="92" t="s">
        <v>361</v>
      </c>
      <c r="L184" s="95">
        <v>726</v>
      </c>
    </row>
    <row r="185" spans="1:12" ht="30" hidden="1" x14ac:dyDescent="0.25">
      <c r="A185" s="92" t="s">
        <v>457</v>
      </c>
      <c r="B185" s="93"/>
      <c r="C185" s="92"/>
      <c r="D185" s="95">
        <v>55535876</v>
      </c>
      <c r="E185" s="95">
        <v>9800449</v>
      </c>
      <c r="F185" s="95">
        <v>65336325</v>
      </c>
      <c r="G185" s="95">
        <v>23.584340285309104</v>
      </c>
      <c r="H185" s="92"/>
      <c r="I185" s="95"/>
      <c r="J185" s="95"/>
      <c r="K185" s="92"/>
      <c r="L185" s="95"/>
    </row>
    <row r="186" spans="1:12" ht="90" hidden="1" x14ac:dyDescent="0.25">
      <c r="A186" s="92" t="s">
        <v>443</v>
      </c>
      <c r="B186" s="93" t="s">
        <v>116</v>
      </c>
      <c r="C186" s="92" t="s">
        <v>117</v>
      </c>
      <c r="D186" s="95">
        <v>2737000</v>
      </c>
      <c r="E186" s="95">
        <v>483000</v>
      </c>
      <c r="F186" s="95">
        <v>3220000</v>
      </c>
      <c r="G186" s="95">
        <v>1610000</v>
      </c>
      <c r="H186" s="92" t="s">
        <v>328</v>
      </c>
      <c r="I186" s="95">
        <v>0</v>
      </c>
      <c r="J186" s="95">
        <v>2</v>
      </c>
      <c r="K186" s="92" t="s">
        <v>330</v>
      </c>
      <c r="L186" s="95">
        <v>4200</v>
      </c>
    </row>
    <row r="187" spans="1:12" ht="90" hidden="1" x14ac:dyDescent="0.25">
      <c r="A187" s="92"/>
      <c r="B187" s="93" t="s">
        <v>118</v>
      </c>
      <c r="C187" s="92" t="s">
        <v>119</v>
      </c>
      <c r="D187" s="95">
        <v>7905000</v>
      </c>
      <c r="E187" s="95">
        <v>1395000</v>
      </c>
      <c r="F187" s="95">
        <v>9300000</v>
      </c>
      <c r="G187" s="95">
        <v>930000</v>
      </c>
      <c r="H187" s="92" t="s">
        <v>328</v>
      </c>
      <c r="I187" s="95">
        <v>0</v>
      </c>
      <c r="J187" s="95">
        <v>10</v>
      </c>
      <c r="K187" s="92" t="s">
        <v>330</v>
      </c>
      <c r="L187" s="95">
        <v>11380</v>
      </c>
    </row>
    <row r="188" spans="1:12" ht="90" hidden="1" x14ac:dyDescent="0.25">
      <c r="A188" s="92"/>
      <c r="B188" s="93" t="s">
        <v>126</v>
      </c>
      <c r="C188" s="92" t="s">
        <v>127</v>
      </c>
      <c r="D188" s="95">
        <v>10132000</v>
      </c>
      <c r="E188" s="95">
        <v>1788000</v>
      </c>
      <c r="F188" s="95">
        <v>11920000</v>
      </c>
      <c r="G188" s="95">
        <v>2980000</v>
      </c>
      <c r="H188" s="92" t="s">
        <v>328</v>
      </c>
      <c r="I188" s="95">
        <v>0</v>
      </c>
      <c r="J188" s="95">
        <v>4</v>
      </c>
      <c r="K188" s="92" t="s">
        <v>330</v>
      </c>
      <c r="L188" s="95">
        <v>4548</v>
      </c>
    </row>
    <row r="189" spans="1:12" ht="75" hidden="1" x14ac:dyDescent="0.25">
      <c r="A189" s="92" t="s">
        <v>444</v>
      </c>
      <c r="B189" s="93" t="s">
        <v>186</v>
      </c>
      <c r="C189" s="92" t="s">
        <v>187</v>
      </c>
      <c r="D189" s="95">
        <v>7752510</v>
      </c>
      <c r="E189" s="95">
        <v>1368090</v>
      </c>
      <c r="F189" s="95">
        <v>9120600</v>
      </c>
      <c r="G189" s="95">
        <v>7450</v>
      </c>
      <c r="H189" s="92" t="s">
        <v>344</v>
      </c>
      <c r="I189" s="95">
        <v>0</v>
      </c>
      <c r="J189" s="95">
        <v>1288</v>
      </c>
      <c r="K189" s="92" t="s">
        <v>341</v>
      </c>
      <c r="L189" s="95">
        <v>169099</v>
      </c>
    </row>
    <row r="190" spans="1:12" ht="45" hidden="1" x14ac:dyDescent="0.25">
      <c r="A190" s="92"/>
      <c r="B190" s="93" t="s">
        <v>194</v>
      </c>
      <c r="C190" s="92" t="s">
        <v>195</v>
      </c>
      <c r="D190" s="95">
        <v>403750</v>
      </c>
      <c r="E190" s="95">
        <v>71250</v>
      </c>
      <c r="F190" s="95">
        <v>475000</v>
      </c>
      <c r="G190" s="95"/>
      <c r="H190" s="92" t="s">
        <v>474</v>
      </c>
      <c r="I190" s="95">
        <v>0</v>
      </c>
      <c r="J190" s="95">
        <v>38</v>
      </c>
      <c r="K190" s="92"/>
      <c r="L190" s="95"/>
    </row>
    <row r="191" spans="1:12" ht="90" hidden="1" x14ac:dyDescent="0.25">
      <c r="A191" s="92" t="s">
        <v>458</v>
      </c>
      <c r="B191" s="93" t="s">
        <v>118</v>
      </c>
      <c r="C191" s="92" t="s">
        <v>119</v>
      </c>
      <c r="D191" s="95">
        <v>26605616</v>
      </c>
      <c r="E191" s="95">
        <v>4695109</v>
      </c>
      <c r="F191" s="95">
        <v>31300725</v>
      </c>
      <c r="G191" s="95">
        <v>2086715</v>
      </c>
      <c r="H191" s="92" t="s">
        <v>328</v>
      </c>
      <c r="I191" s="95">
        <v>2</v>
      </c>
      <c r="J191" s="95">
        <v>15</v>
      </c>
      <c r="K191" s="92" t="s">
        <v>330</v>
      </c>
      <c r="L191" s="95">
        <v>17070</v>
      </c>
    </row>
    <row r="192" spans="1:12" ht="45" hidden="1" x14ac:dyDescent="0.25">
      <c r="A192" s="92"/>
      <c r="B192" s="93"/>
      <c r="C192" s="92"/>
      <c r="D192" s="95"/>
      <c r="E192" s="95"/>
      <c r="F192" s="95"/>
      <c r="G192" s="95"/>
      <c r="H192" s="92" t="s">
        <v>472</v>
      </c>
      <c r="I192" s="95">
        <v>500</v>
      </c>
      <c r="J192" s="95">
        <v>3000</v>
      </c>
      <c r="K192" s="92"/>
      <c r="L192" s="95"/>
    </row>
    <row r="193" spans="1:12" ht="60" hidden="1" x14ac:dyDescent="0.25">
      <c r="A193" s="92" t="s">
        <v>456</v>
      </c>
      <c r="B193" s="93"/>
      <c r="C193" s="92"/>
      <c r="D193" s="95">
        <v>6725370</v>
      </c>
      <c r="E193" s="95">
        <v>1186830</v>
      </c>
      <c r="F193" s="95">
        <v>7912200</v>
      </c>
      <c r="G193" s="95">
        <v>2.856053155812218</v>
      </c>
      <c r="H193" s="92"/>
      <c r="I193" s="95"/>
      <c r="J193" s="95"/>
      <c r="K193" s="92"/>
      <c r="L193" s="95"/>
    </row>
    <row r="194" spans="1:12" ht="105" hidden="1" x14ac:dyDescent="0.25">
      <c r="A194" s="92" t="s">
        <v>456</v>
      </c>
      <c r="B194" s="93" t="s">
        <v>168</v>
      </c>
      <c r="C194" s="92" t="s">
        <v>169</v>
      </c>
      <c r="D194" s="95">
        <v>6725370</v>
      </c>
      <c r="E194" s="95">
        <v>1186830</v>
      </c>
      <c r="F194" s="95">
        <v>7912200</v>
      </c>
      <c r="G194" s="95">
        <v>407000</v>
      </c>
      <c r="H194" s="92" t="s">
        <v>336</v>
      </c>
      <c r="I194" s="95">
        <v>0</v>
      </c>
      <c r="J194" s="95">
        <v>19</v>
      </c>
      <c r="K194" s="92" t="s">
        <v>339</v>
      </c>
      <c r="L194" s="95">
        <v>10</v>
      </c>
    </row>
    <row r="195" spans="1:12" ht="30" hidden="1" x14ac:dyDescent="0.25">
      <c r="A195" s="92" t="s">
        <v>454</v>
      </c>
      <c r="B195" s="93"/>
      <c r="C195" s="92"/>
      <c r="D195" s="95">
        <v>17850000</v>
      </c>
      <c r="E195" s="95">
        <v>3150000</v>
      </c>
      <c r="F195" s="95">
        <v>21000000</v>
      </c>
      <c r="G195" s="95">
        <v>7.5803336963242298</v>
      </c>
      <c r="H195" s="92"/>
      <c r="I195" s="95"/>
      <c r="J195" s="95"/>
      <c r="K195" s="92"/>
      <c r="L195" s="95"/>
    </row>
    <row r="196" spans="1:12" ht="75" hidden="1" x14ac:dyDescent="0.25">
      <c r="A196" s="92" t="s">
        <v>455</v>
      </c>
      <c r="B196" s="93" t="s">
        <v>174</v>
      </c>
      <c r="C196" s="92" t="s">
        <v>175</v>
      </c>
      <c r="D196" s="95">
        <v>17850000</v>
      </c>
      <c r="E196" s="95">
        <v>3150000</v>
      </c>
      <c r="F196" s="95">
        <v>21000000</v>
      </c>
      <c r="G196" s="95">
        <v>2184000</v>
      </c>
      <c r="H196" s="92" t="s">
        <v>305</v>
      </c>
      <c r="I196" s="95">
        <v>0</v>
      </c>
      <c r="J196" s="95">
        <v>1</v>
      </c>
      <c r="K196" s="92"/>
      <c r="L196" s="95"/>
    </row>
    <row r="197" spans="1:12" ht="60" hidden="1" x14ac:dyDescent="0.25">
      <c r="A197" s="92"/>
      <c r="B197" s="93"/>
      <c r="C197" s="92"/>
      <c r="D197" s="95"/>
      <c r="E197" s="95"/>
      <c r="F197" s="95"/>
      <c r="G197" s="95"/>
      <c r="H197" s="92" t="s">
        <v>307</v>
      </c>
      <c r="I197" s="95">
        <v>0</v>
      </c>
      <c r="J197" s="95">
        <v>1</v>
      </c>
      <c r="K197" s="92"/>
      <c r="L197" s="95"/>
    </row>
    <row r="198" spans="1:12" ht="150" hidden="1" x14ac:dyDescent="0.25">
      <c r="A198" s="92"/>
      <c r="B198" s="93"/>
      <c r="C198" s="92"/>
      <c r="D198" s="95"/>
      <c r="E198" s="95"/>
      <c r="F198" s="95"/>
      <c r="G198" s="95"/>
      <c r="H198" s="92" t="s">
        <v>318</v>
      </c>
      <c r="I198" s="95">
        <v>0</v>
      </c>
      <c r="J198" s="95">
        <v>1</v>
      </c>
      <c r="K198" s="92" t="s">
        <v>319</v>
      </c>
      <c r="L198" s="95">
        <v>1423098</v>
      </c>
    </row>
    <row r="199" spans="1:12" ht="75" hidden="1" x14ac:dyDescent="0.25">
      <c r="A199" s="92" t="s">
        <v>452</v>
      </c>
      <c r="B199" s="93" t="s">
        <v>66</v>
      </c>
      <c r="C199" s="92" t="s">
        <v>67</v>
      </c>
      <c r="D199" s="95">
        <v>0</v>
      </c>
      <c r="E199" s="95">
        <v>0</v>
      </c>
      <c r="F199" s="95">
        <v>0</v>
      </c>
      <c r="G199" s="95">
        <v>0</v>
      </c>
      <c r="H199" s="92"/>
      <c r="I199" s="95"/>
      <c r="J199" s="95"/>
      <c r="K199" s="92"/>
      <c r="L199" s="95"/>
    </row>
    <row r="200" spans="1:12" hidden="1" x14ac:dyDescent="0.25">
      <c r="A200" s="21"/>
      <c r="B200" s="19"/>
      <c r="C200" s="21"/>
      <c r="D200" s="25">
        <f>_xlfn.AGGREGATE(9,5,D1:D184)</f>
        <v>0</v>
      </c>
      <c r="E200" s="25"/>
      <c r="F200" s="25"/>
      <c r="G200" s="25"/>
      <c r="H200" s="21"/>
      <c r="I200" s="25"/>
      <c r="J200" s="25"/>
      <c r="K200" s="21"/>
      <c r="L200" s="25"/>
    </row>
    <row r="201" spans="1:12" s="37" customFormat="1" hidden="1" x14ac:dyDescent="0.25">
      <c r="A201" s="31" t="s">
        <v>395</v>
      </c>
      <c r="B201" s="34"/>
      <c r="C201" s="31" t="s">
        <v>429</v>
      </c>
      <c r="D201" s="35">
        <v>85588621</v>
      </c>
      <c r="E201" s="35">
        <v>28529539</v>
      </c>
      <c r="F201" s="35">
        <v>114118160</v>
      </c>
      <c r="G201" s="35">
        <v>4.5092837516055893</v>
      </c>
      <c r="H201" s="31"/>
      <c r="I201" s="35"/>
      <c r="J201" s="35"/>
      <c r="K201" s="31"/>
      <c r="L201" s="35"/>
    </row>
    <row r="202" spans="1:12" hidden="1" x14ac:dyDescent="0.25">
      <c r="A202" s="21" t="s">
        <v>430</v>
      </c>
      <c r="B202" s="19"/>
      <c r="C202" s="21" t="s">
        <v>431</v>
      </c>
      <c r="D202" s="25">
        <v>85588621</v>
      </c>
      <c r="E202" s="25">
        <v>28529539</v>
      </c>
      <c r="F202" s="25">
        <v>114118160</v>
      </c>
      <c r="G202" s="25"/>
      <c r="H202" s="21"/>
      <c r="I202" s="25"/>
      <c r="J202" s="25"/>
      <c r="K202" s="21"/>
      <c r="L202" s="25"/>
    </row>
    <row r="203" spans="1:12" hidden="1" x14ac:dyDescent="0.25">
      <c r="A203" s="21" t="s">
        <v>401</v>
      </c>
      <c r="B203" s="19"/>
      <c r="C203" s="21"/>
      <c r="D203" s="25">
        <v>0</v>
      </c>
      <c r="E203" s="25">
        <v>0</v>
      </c>
      <c r="F203" s="25">
        <v>0</v>
      </c>
      <c r="G203" s="25"/>
      <c r="H203" s="21"/>
      <c r="I203" s="25">
        <v>0</v>
      </c>
      <c r="J203" s="25"/>
      <c r="K203" s="21"/>
      <c r="L203" s="25"/>
    </row>
    <row r="204" spans="1:12" ht="45" hidden="1" x14ac:dyDescent="0.25">
      <c r="A204" s="21"/>
      <c r="B204" s="19">
        <v>179</v>
      </c>
      <c r="C204" s="21" t="s">
        <v>301</v>
      </c>
      <c r="D204" s="25">
        <v>8700000</v>
      </c>
      <c r="E204" s="25">
        <v>2900000</v>
      </c>
      <c r="F204" s="25">
        <v>11600000</v>
      </c>
      <c r="G204" s="25">
        <v>1657142.857142857</v>
      </c>
      <c r="H204" s="21" t="s">
        <v>435</v>
      </c>
      <c r="I204" s="25">
        <v>1</v>
      </c>
      <c r="J204" s="25">
        <v>7</v>
      </c>
      <c r="K204" s="21"/>
      <c r="L204" s="25"/>
    </row>
    <row r="205" spans="1:12" ht="30" hidden="1" x14ac:dyDescent="0.25">
      <c r="A205" s="21"/>
      <c r="B205" s="19">
        <v>181</v>
      </c>
      <c r="C205" s="21" t="s">
        <v>303</v>
      </c>
      <c r="D205" s="25">
        <v>1397025</v>
      </c>
      <c r="E205" s="25">
        <v>465675</v>
      </c>
      <c r="F205" s="25">
        <v>1862700</v>
      </c>
      <c r="G205" s="25">
        <v>620900</v>
      </c>
      <c r="H205" s="21" t="s">
        <v>434</v>
      </c>
      <c r="I205" s="25">
        <v>1</v>
      </c>
      <c r="J205" s="25">
        <v>3</v>
      </c>
      <c r="K205" s="21"/>
      <c r="L205" s="25"/>
    </row>
    <row r="206" spans="1:12" ht="45" hidden="1" x14ac:dyDescent="0.25">
      <c r="A206" s="21" t="s">
        <v>473</v>
      </c>
      <c r="B206" s="19">
        <v>180</v>
      </c>
      <c r="C206" s="21" t="s">
        <v>302</v>
      </c>
      <c r="D206" s="25">
        <v>72339938</v>
      </c>
      <c r="E206" s="25">
        <v>24113312</v>
      </c>
      <c r="F206" s="25">
        <v>96453250</v>
      </c>
      <c r="G206" s="25">
        <v>2857.8740740740741</v>
      </c>
      <c r="H206" s="21" t="s">
        <v>437</v>
      </c>
      <c r="I206" s="25">
        <v>263</v>
      </c>
      <c r="J206" s="25">
        <v>375</v>
      </c>
      <c r="K206" s="21"/>
      <c r="L206" s="25"/>
    </row>
    <row r="207" spans="1:12" ht="60" hidden="1" x14ac:dyDescent="0.25">
      <c r="A207" s="21" t="s">
        <v>399</v>
      </c>
      <c r="B207" s="19"/>
      <c r="C207" s="21"/>
      <c r="D207" s="25">
        <v>1206000</v>
      </c>
      <c r="E207" s="25">
        <v>402000</v>
      </c>
      <c r="F207" s="25">
        <v>1608000</v>
      </c>
      <c r="G207" s="25">
        <v>402</v>
      </c>
      <c r="H207" s="21" t="s">
        <v>436</v>
      </c>
      <c r="I207" s="25">
        <v>667</v>
      </c>
      <c r="J207" s="25">
        <v>4000</v>
      </c>
      <c r="K207" s="21"/>
      <c r="L207" s="25"/>
    </row>
    <row r="208" spans="1:12" ht="75" hidden="1" x14ac:dyDescent="0.25">
      <c r="A208" s="21" t="s">
        <v>398</v>
      </c>
      <c r="B208" s="19">
        <v>182</v>
      </c>
      <c r="C208" s="21" t="s">
        <v>304</v>
      </c>
      <c r="D208" s="25">
        <v>843750</v>
      </c>
      <c r="E208" s="25">
        <v>281250</v>
      </c>
      <c r="F208" s="25">
        <v>1125000</v>
      </c>
      <c r="G208" s="25">
        <v>3000</v>
      </c>
      <c r="H208" s="21"/>
      <c r="I208" s="25"/>
      <c r="J208" s="25"/>
      <c r="K208" s="21"/>
      <c r="L208" s="25"/>
    </row>
    <row r="209" spans="1:12" ht="60" hidden="1" x14ac:dyDescent="0.25">
      <c r="A209" s="21" t="s">
        <v>400</v>
      </c>
      <c r="B209" s="19"/>
      <c r="C209" s="21"/>
      <c r="D209" s="25">
        <v>1101908</v>
      </c>
      <c r="E209" s="25">
        <v>367302</v>
      </c>
      <c r="F209" s="25">
        <v>1469210</v>
      </c>
      <c r="G209" s="25">
        <v>73460.5</v>
      </c>
      <c r="H209" s="21" t="s">
        <v>438</v>
      </c>
      <c r="I209" s="25">
        <v>244869</v>
      </c>
      <c r="J209" s="25">
        <v>1469211</v>
      </c>
      <c r="K209" s="21"/>
      <c r="L209" s="25"/>
    </row>
    <row r="210" spans="1:12" s="37" customFormat="1" hidden="1" x14ac:dyDescent="0.25">
      <c r="A210" s="31" t="s">
        <v>380</v>
      </c>
      <c r="B210" s="34"/>
      <c r="C210" s="31"/>
      <c r="D210" s="35">
        <v>2139715532</v>
      </c>
      <c r="E210" s="35">
        <v>391022525</v>
      </c>
      <c r="F210" s="35">
        <v>2530738057</v>
      </c>
      <c r="G210" s="35">
        <v>100</v>
      </c>
      <c r="H210" s="31"/>
      <c r="I210" s="35"/>
      <c r="J210" s="35"/>
      <c r="K210" s="31"/>
      <c r="L210" s="35"/>
    </row>
    <row r="211" spans="1:12" hidden="1" x14ac:dyDescent="0.25">
      <c r="A211" s="21"/>
      <c r="B211" s="19"/>
      <c r="C211" s="21"/>
      <c r="D211" s="25">
        <v>2139715532</v>
      </c>
      <c r="E211" s="25">
        <v>391022525</v>
      </c>
      <c r="F211" s="25">
        <v>2530738057</v>
      </c>
      <c r="G211" s="25"/>
      <c r="H211" s="21"/>
      <c r="I211" s="25"/>
      <c r="J211" s="25"/>
      <c r="K211" s="21"/>
      <c r="L211" s="25"/>
    </row>
    <row r="212" spans="1:12" hidden="1" x14ac:dyDescent="0.25">
      <c r="A212" s="21"/>
      <c r="B212" s="19"/>
      <c r="C212" s="21"/>
      <c r="D212" s="25">
        <v>0</v>
      </c>
      <c r="E212" s="25">
        <v>0</v>
      </c>
      <c r="F212" s="25">
        <v>0</v>
      </c>
      <c r="G212" s="25"/>
      <c r="H212" s="21"/>
      <c r="I212" s="25"/>
      <c r="J212" s="25"/>
      <c r="K212" s="21"/>
      <c r="L212" s="25"/>
    </row>
    <row r="213" spans="1:12" ht="30" hidden="1" x14ac:dyDescent="0.25">
      <c r="A213" s="21" t="s">
        <v>21</v>
      </c>
      <c r="B213" s="19"/>
      <c r="C213" s="21"/>
      <c r="D213" s="25">
        <v>1131637720</v>
      </c>
      <c r="E213" s="25">
        <v>199700772</v>
      </c>
      <c r="F213" s="25">
        <v>1331338492</v>
      </c>
      <c r="G213" s="25">
        <v>52.606728235564681</v>
      </c>
      <c r="H213" s="21"/>
      <c r="I213" s="25"/>
      <c r="J213" s="25"/>
      <c r="K213" s="21"/>
      <c r="L213" s="25"/>
    </row>
    <row r="214" spans="1:12" ht="90" hidden="1" x14ac:dyDescent="0.25">
      <c r="A214" s="21" t="s">
        <v>449</v>
      </c>
      <c r="B214" s="19" t="s">
        <v>64</v>
      </c>
      <c r="C214" s="21" t="s">
        <v>65</v>
      </c>
      <c r="D214" s="25">
        <v>646322030</v>
      </c>
      <c r="E214" s="25">
        <v>114056828</v>
      </c>
      <c r="F214" s="25">
        <v>760378858</v>
      </c>
      <c r="G214" s="25">
        <v>1600000</v>
      </c>
      <c r="H214" s="21" t="s">
        <v>305</v>
      </c>
      <c r="I214" s="25">
        <v>80</v>
      </c>
      <c r="J214" s="25">
        <v>475.33172937500001</v>
      </c>
      <c r="K214" s="21" t="s">
        <v>306</v>
      </c>
      <c r="L214" s="25">
        <v>1386</v>
      </c>
    </row>
    <row r="215" spans="1:12" ht="60" hidden="1" x14ac:dyDescent="0.25">
      <c r="A215" s="21"/>
      <c r="B215" s="19"/>
      <c r="C215" s="21"/>
      <c r="D215" s="25"/>
      <c r="E215" s="25"/>
      <c r="F215" s="25"/>
      <c r="G215" s="25"/>
      <c r="H215" s="21" t="s">
        <v>307</v>
      </c>
      <c r="I215" s="25">
        <v>80</v>
      </c>
      <c r="J215" s="25">
        <v>475.33172937500001</v>
      </c>
      <c r="K215" s="21"/>
      <c r="L215" s="25"/>
    </row>
    <row r="216" spans="1:12" ht="135" hidden="1" x14ac:dyDescent="0.25">
      <c r="A216" s="21"/>
      <c r="B216" s="19">
        <v>146</v>
      </c>
      <c r="C216" s="21" t="s">
        <v>268</v>
      </c>
      <c r="D216" s="25">
        <v>1895671</v>
      </c>
      <c r="E216" s="25">
        <v>334529</v>
      </c>
      <c r="F216" s="25">
        <v>2230200</v>
      </c>
      <c r="G216" s="25">
        <v>3150</v>
      </c>
      <c r="H216" s="21" t="s">
        <v>370</v>
      </c>
      <c r="I216" s="25">
        <v>117</v>
      </c>
      <c r="J216" s="25">
        <v>693</v>
      </c>
      <c r="K216" s="21" t="s">
        <v>361</v>
      </c>
      <c r="L216" s="25">
        <v>693</v>
      </c>
    </row>
    <row r="217" spans="1:12" ht="75" hidden="1" x14ac:dyDescent="0.25">
      <c r="A217" s="21" t="s">
        <v>450</v>
      </c>
      <c r="B217" s="19" t="s">
        <v>64</v>
      </c>
      <c r="C217" s="21" t="s">
        <v>65</v>
      </c>
      <c r="D217" s="25">
        <v>232668843</v>
      </c>
      <c r="E217" s="25">
        <v>41059207</v>
      </c>
      <c r="F217" s="25">
        <v>273728050</v>
      </c>
      <c r="G217" s="25">
        <v>180000</v>
      </c>
      <c r="H217" s="21" t="s">
        <v>305</v>
      </c>
      <c r="I217" s="25">
        <v>381</v>
      </c>
      <c r="J217" s="25">
        <v>1521</v>
      </c>
      <c r="K217" s="21" t="s">
        <v>306</v>
      </c>
      <c r="L217" s="25">
        <v>6078</v>
      </c>
    </row>
    <row r="218" spans="1:12" ht="60" hidden="1" x14ac:dyDescent="0.25">
      <c r="A218" s="21"/>
      <c r="B218" s="19"/>
      <c r="C218" s="21"/>
      <c r="D218" s="25"/>
      <c r="E218" s="25"/>
      <c r="F218" s="25"/>
      <c r="G218" s="25"/>
      <c r="H218" s="21" t="s">
        <v>307</v>
      </c>
      <c r="I218" s="25">
        <v>381</v>
      </c>
      <c r="J218" s="25">
        <v>1521</v>
      </c>
      <c r="K218" s="21"/>
      <c r="L218" s="25"/>
    </row>
    <row r="219" spans="1:12" ht="60" hidden="1" x14ac:dyDescent="0.25">
      <c r="A219" s="21"/>
      <c r="B219" s="19" t="s">
        <v>72</v>
      </c>
      <c r="C219" s="21" t="s">
        <v>497</v>
      </c>
      <c r="D219" s="25">
        <v>167451176</v>
      </c>
      <c r="E219" s="25">
        <v>29550208</v>
      </c>
      <c r="F219" s="25">
        <v>197001384</v>
      </c>
      <c r="G219" s="25">
        <v>80000</v>
      </c>
      <c r="H219" s="21" t="s">
        <v>305</v>
      </c>
      <c r="I219" s="25">
        <v>617</v>
      </c>
      <c r="J219" s="25">
        <v>2463</v>
      </c>
      <c r="K219" s="21" t="s">
        <v>323</v>
      </c>
      <c r="L219" s="25">
        <v>1675</v>
      </c>
    </row>
    <row r="220" spans="1:12" ht="75" hidden="1" x14ac:dyDescent="0.25">
      <c r="A220" s="21"/>
      <c r="B220" s="19"/>
      <c r="C220" s="21"/>
      <c r="D220" s="25"/>
      <c r="E220" s="25"/>
      <c r="F220" s="25"/>
      <c r="G220" s="25"/>
      <c r="H220" s="21" t="s">
        <v>307</v>
      </c>
      <c r="I220" s="25">
        <v>617</v>
      </c>
      <c r="J220" s="25">
        <v>2463</v>
      </c>
      <c r="K220" s="21" t="s">
        <v>306</v>
      </c>
      <c r="L220" s="25">
        <v>2899</v>
      </c>
    </row>
    <row r="221" spans="1:12" ht="60" hidden="1" x14ac:dyDescent="0.25">
      <c r="A221" s="21"/>
      <c r="B221" s="19"/>
      <c r="C221" s="21"/>
      <c r="D221" s="25"/>
      <c r="E221" s="25"/>
      <c r="F221" s="25"/>
      <c r="G221" s="25"/>
      <c r="H221" s="21" t="s">
        <v>312</v>
      </c>
      <c r="I221" s="25">
        <v>617</v>
      </c>
      <c r="J221" s="25">
        <v>2463</v>
      </c>
      <c r="K221" s="21"/>
      <c r="L221" s="25"/>
    </row>
    <row r="222" spans="1:12" ht="90" hidden="1" x14ac:dyDescent="0.25">
      <c r="A222" s="21" t="s">
        <v>451</v>
      </c>
      <c r="B222" s="19" t="s">
        <v>62</v>
      </c>
      <c r="C222" s="21" t="s">
        <v>63</v>
      </c>
      <c r="D222" s="25">
        <v>83300000</v>
      </c>
      <c r="E222" s="25">
        <v>14700000</v>
      </c>
      <c r="F222" s="25">
        <v>98000000</v>
      </c>
      <c r="G222" s="25">
        <v>3500000</v>
      </c>
      <c r="H222" s="21" t="s">
        <v>305</v>
      </c>
      <c r="I222" s="25">
        <v>0</v>
      </c>
      <c r="J222" s="25">
        <v>1400</v>
      </c>
      <c r="K222" s="21" t="s">
        <v>325</v>
      </c>
      <c r="L222" s="25">
        <v>350.5</v>
      </c>
    </row>
    <row r="223" spans="1:12" ht="75" hidden="1" x14ac:dyDescent="0.25">
      <c r="A223" s="21"/>
      <c r="B223" s="19"/>
      <c r="C223" s="21"/>
      <c r="D223" s="25"/>
      <c r="E223" s="25"/>
      <c r="F223" s="25"/>
      <c r="G223" s="25"/>
      <c r="H223" s="21" t="s">
        <v>307</v>
      </c>
      <c r="I223" s="25">
        <v>0</v>
      </c>
      <c r="J223" s="25">
        <v>0</v>
      </c>
      <c r="K223" s="21" t="s">
        <v>306</v>
      </c>
      <c r="L223" s="25">
        <v>700</v>
      </c>
    </row>
    <row r="224" spans="1:12" ht="60" hidden="1" x14ac:dyDescent="0.25">
      <c r="A224" s="21"/>
      <c r="B224" s="19"/>
      <c r="C224" s="21"/>
      <c r="D224" s="25"/>
      <c r="E224" s="25"/>
      <c r="F224" s="25"/>
      <c r="G224" s="25"/>
      <c r="H224" s="21" t="s">
        <v>310</v>
      </c>
      <c r="I224" s="25">
        <v>0</v>
      </c>
      <c r="J224" s="25">
        <v>1400</v>
      </c>
      <c r="K224" s="21"/>
      <c r="L224" s="25"/>
    </row>
    <row r="225" spans="1:12" ht="30" hidden="1" x14ac:dyDescent="0.25">
      <c r="A225" s="21" t="s">
        <v>371</v>
      </c>
      <c r="B225" s="19"/>
      <c r="C225" s="21"/>
      <c r="D225" s="25">
        <v>241406947</v>
      </c>
      <c r="E225" s="25">
        <v>42601225</v>
      </c>
      <c r="F225" s="25">
        <v>284008172</v>
      </c>
      <c r="G225" s="25">
        <v>11.222345640017378</v>
      </c>
      <c r="H225" s="21"/>
      <c r="I225" s="25">
        <v>0</v>
      </c>
      <c r="J225" s="25">
        <v>0</v>
      </c>
      <c r="K225" s="21"/>
      <c r="L225" s="25"/>
    </row>
    <row r="226" spans="1:12" ht="135" hidden="1" x14ac:dyDescent="0.25">
      <c r="A226" s="21" t="s">
        <v>387</v>
      </c>
      <c r="B226" s="19">
        <v>139</v>
      </c>
      <c r="C226" s="21" t="s">
        <v>261</v>
      </c>
      <c r="D226" s="25">
        <v>75484080</v>
      </c>
      <c r="E226" s="25">
        <v>13320720</v>
      </c>
      <c r="F226" s="25">
        <v>88804800</v>
      </c>
      <c r="G226" s="25">
        <v>2100</v>
      </c>
      <c r="H226" s="21" t="s">
        <v>350</v>
      </c>
      <c r="I226" s="25">
        <v>0</v>
      </c>
      <c r="J226" s="25">
        <v>42288</v>
      </c>
      <c r="K226" s="21" t="s">
        <v>347</v>
      </c>
      <c r="L226" s="25">
        <v>8568</v>
      </c>
    </row>
    <row r="227" spans="1:12" hidden="1" x14ac:dyDescent="0.25">
      <c r="A227" s="21" t="s">
        <v>388</v>
      </c>
      <c r="B227" s="19"/>
      <c r="C227" s="21"/>
      <c r="D227" s="25">
        <v>3166590</v>
      </c>
      <c r="E227" s="25">
        <v>558810</v>
      </c>
      <c r="F227" s="25">
        <v>3725400</v>
      </c>
      <c r="G227" s="25">
        <v>620900</v>
      </c>
      <c r="H227" s="21"/>
      <c r="I227" s="25">
        <v>69025621</v>
      </c>
      <c r="J227" s="25">
        <v>6</v>
      </c>
      <c r="K227" s="21"/>
      <c r="L227" s="25">
        <v>0</v>
      </c>
    </row>
    <row r="228" spans="1:12" ht="135" hidden="1" x14ac:dyDescent="0.25">
      <c r="A228" s="21" t="s">
        <v>381</v>
      </c>
      <c r="B228" s="19">
        <v>146</v>
      </c>
      <c r="C228" s="21" t="s">
        <v>268</v>
      </c>
      <c r="D228" s="25">
        <v>162756277</v>
      </c>
      <c r="E228" s="25">
        <v>28721695</v>
      </c>
      <c r="F228" s="25">
        <v>191477972</v>
      </c>
      <c r="G228" s="25">
        <v>6550</v>
      </c>
      <c r="H228" s="21" t="s">
        <v>370</v>
      </c>
      <c r="I228" s="25">
        <v>7308</v>
      </c>
      <c r="J228" s="25">
        <v>29232</v>
      </c>
      <c r="K228" s="21" t="s">
        <v>361</v>
      </c>
      <c r="L228" s="25">
        <v>6139</v>
      </c>
    </row>
    <row r="229" spans="1:12" ht="45" hidden="1" x14ac:dyDescent="0.25">
      <c r="A229" s="21" t="s">
        <v>372</v>
      </c>
      <c r="B229" s="19"/>
      <c r="C229" s="21"/>
      <c r="D229" s="25">
        <v>480599827</v>
      </c>
      <c r="E229" s="25">
        <v>84811739</v>
      </c>
      <c r="F229" s="25">
        <v>565411566</v>
      </c>
      <c r="G229" s="25">
        <v>22.341765653544286</v>
      </c>
      <c r="H229" s="21"/>
      <c r="I229" s="25">
        <v>51136041</v>
      </c>
      <c r="J229" s="25">
        <v>0</v>
      </c>
      <c r="K229" s="21"/>
      <c r="L229" s="25">
        <v>0</v>
      </c>
    </row>
    <row r="230" spans="1:12" ht="90" hidden="1" x14ac:dyDescent="0.25">
      <c r="A230" s="21" t="s">
        <v>382</v>
      </c>
      <c r="B230" s="19" t="s">
        <v>116</v>
      </c>
      <c r="C230" s="21" t="s">
        <v>117</v>
      </c>
      <c r="D230" s="25">
        <v>56831000</v>
      </c>
      <c r="E230" s="25">
        <v>10029000</v>
      </c>
      <c r="F230" s="25">
        <v>66860000</v>
      </c>
      <c r="G230" s="25">
        <v>1610000</v>
      </c>
      <c r="H230" s="21" t="s">
        <v>328</v>
      </c>
      <c r="I230" s="25">
        <v>0</v>
      </c>
      <c r="J230" s="25">
        <v>41</v>
      </c>
      <c r="K230" s="21" t="s">
        <v>330</v>
      </c>
      <c r="L230" s="25">
        <v>86100</v>
      </c>
    </row>
    <row r="231" spans="1:12" ht="90" hidden="1" x14ac:dyDescent="0.25">
      <c r="A231" s="21"/>
      <c r="B231" s="19" t="s">
        <v>118</v>
      </c>
      <c r="C231" s="21" t="s">
        <v>119</v>
      </c>
      <c r="D231" s="25">
        <v>79050000</v>
      </c>
      <c r="E231" s="25">
        <v>13950000</v>
      </c>
      <c r="F231" s="25">
        <v>93000000</v>
      </c>
      <c r="G231" s="25">
        <v>930000</v>
      </c>
      <c r="H231" s="21" t="s">
        <v>328</v>
      </c>
      <c r="I231" s="25">
        <v>0</v>
      </c>
      <c r="J231" s="25">
        <v>100</v>
      </c>
      <c r="K231" s="21" t="s">
        <v>330</v>
      </c>
      <c r="L231" s="25">
        <v>113800</v>
      </c>
    </row>
    <row r="232" spans="1:12" ht="90" hidden="1" x14ac:dyDescent="0.25">
      <c r="A232" s="21"/>
      <c r="B232" s="19" t="s">
        <v>126</v>
      </c>
      <c r="C232" s="21" t="s">
        <v>127</v>
      </c>
      <c r="D232" s="25">
        <v>60792000</v>
      </c>
      <c r="E232" s="25">
        <v>10728000</v>
      </c>
      <c r="F232" s="25">
        <v>71520000</v>
      </c>
      <c r="G232" s="25">
        <v>2980000</v>
      </c>
      <c r="H232" s="21" t="s">
        <v>328</v>
      </c>
      <c r="I232" s="25">
        <v>0</v>
      </c>
      <c r="J232" s="25">
        <v>24</v>
      </c>
      <c r="K232" s="21" t="s">
        <v>330</v>
      </c>
      <c r="L232" s="25">
        <v>27288</v>
      </c>
    </row>
    <row r="233" spans="1:12" ht="75" hidden="1" x14ac:dyDescent="0.25">
      <c r="A233" s="21" t="s">
        <v>383</v>
      </c>
      <c r="B233" s="19" t="s">
        <v>186</v>
      </c>
      <c r="C233" s="21" t="s">
        <v>187</v>
      </c>
      <c r="D233" s="25">
        <v>67072140</v>
      </c>
      <c r="E233" s="25">
        <v>11836260</v>
      </c>
      <c r="F233" s="25">
        <v>78908400</v>
      </c>
      <c r="G233" s="25">
        <v>7450</v>
      </c>
      <c r="H233" s="21" t="s">
        <v>344</v>
      </c>
      <c r="I233" s="25">
        <v>0</v>
      </c>
      <c r="J233" s="25">
        <v>11132</v>
      </c>
      <c r="K233" s="21" t="s">
        <v>341</v>
      </c>
      <c r="L233" s="25">
        <v>1461500</v>
      </c>
    </row>
    <row r="234" spans="1:12" ht="45" hidden="1" x14ac:dyDescent="0.25">
      <c r="A234" s="21"/>
      <c r="B234" s="19" t="s">
        <v>194</v>
      </c>
      <c r="C234" s="21" t="s">
        <v>195</v>
      </c>
      <c r="D234" s="25">
        <v>3421250</v>
      </c>
      <c r="E234" s="25">
        <v>603750</v>
      </c>
      <c r="F234" s="25">
        <v>4025000</v>
      </c>
      <c r="G234" s="25"/>
      <c r="H234" s="21" t="s">
        <v>469</v>
      </c>
      <c r="I234" s="25">
        <v>0</v>
      </c>
      <c r="J234" s="25">
        <v>320</v>
      </c>
      <c r="K234" s="21"/>
      <c r="L234" s="25">
        <v>0</v>
      </c>
    </row>
    <row r="235" spans="1:12" ht="90" hidden="1" x14ac:dyDescent="0.25">
      <c r="A235" s="21" t="s">
        <v>390</v>
      </c>
      <c r="B235" s="19" t="s">
        <v>118</v>
      </c>
      <c r="C235" s="21" t="s">
        <v>119</v>
      </c>
      <c r="D235" s="25">
        <v>213433437</v>
      </c>
      <c r="E235" s="25">
        <v>37664729</v>
      </c>
      <c r="F235" s="25">
        <v>251098166</v>
      </c>
      <c r="G235" s="25">
        <v>2086715</v>
      </c>
      <c r="H235" s="21" t="s">
        <v>328</v>
      </c>
      <c r="I235" s="25">
        <v>19.335000000000001</v>
      </c>
      <c r="J235" s="25">
        <v>120</v>
      </c>
      <c r="K235" s="21" t="s">
        <v>330</v>
      </c>
      <c r="L235" s="25">
        <v>136560</v>
      </c>
    </row>
    <row r="236" spans="1:12" ht="60" hidden="1" x14ac:dyDescent="0.25">
      <c r="A236" s="21"/>
      <c r="B236" s="19"/>
      <c r="C236" s="21"/>
      <c r="D236" s="25"/>
      <c r="E236" s="25"/>
      <c r="F236" s="25"/>
      <c r="G236" s="25"/>
      <c r="H236" s="21" t="s">
        <v>324</v>
      </c>
      <c r="I236" s="25">
        <v>4001</v>
      </c>
      <c r="J236" s="25">
        <v>24000</v>
      </c>
      <c r="K236" s="21"/>
      <c r="L236" s="25">
        <v>0</v>
      </c>
    </row>
    <row r="237" spans="1:12" ht="75" hidden="1" x14ac:dyDescent="0.25">
      <c r="A237" s="21" t="s">
        <v>373</v>
      </c>
      <c r="B237" s="19"/>
      <c r="C237" s="21"/>
      <c r="D237" s="25">
        <v>91852417</v>
      </c>
      <c r="E237" s="25">
        <v>16209250</v>
      </c>
      <c r="F237" s="25">
        <v>108061667</v>
      </c>
      <c r="G237" s="25">
        <v>4.2699664906489376</v>
      </c>
      <c r="H237" s="21"/>
      <c r="I237" s="25">
        <v>0</v>
      </c>
      <c r="J237" s="25">
        <v>0</v>
      </c>
      <c r="K237" s="21"/>
      <c r="L237" s="25">
        <v>0</v>
      </c>
    </row>
    <row r="238" spans="1:12" ht="105" hidden="1" x14ac:dyDescent="0.25">
      <c r="A238" s="21"/>
      <c r="B238" s="19" t="s">
        <v>168</v>
      </c>
      <c r="C238" s="21" t="s">
        <v>169</v>
      </c>
      <c r="D238" s="25">
        <v>91852417</v>
      </c>
      <c r="E238" s="25">
        <v>16209250</v>
      </c>
      <c r="F238" s="25">
        <v>108061667</v>
      </c>
      <c r="G238" s="25">
        <v>407000</v>
      </c>
      <c r="H238" s="21" t="s">
        <v>336</v>
      </c>
      <c r="I238" s="25">
        <v>0</v>
      </c>
      <c r="J238" s="25">
        <v>266</v>
      </c>
      <c r="K238" s="21" t="s">
        <v>339</v>
      </c>
      <c r="L238" s="25">
        <v>134</v>
      </c>
    </row>
    <row r="239" spans="1:12" ht="75" hidden="1" x14ac:dyDescent="0.25">
      <c r="A239" s="21" t="s">
        <v>374</v>
      </c>
      <c r="B239" s="19"/>
      <c r="C239" s="21"/>
      <c r="D239" s="25">
        <v>108630000</v>
      </c>
      <c r="E239" s="25">
        <v>19170000</v>
      </c>
      <c r="F239" s="25">
        <v>127800000</v>
      </c>
      <c r="G239" s="25">
        <v>5.0499102286191286</v>
      </c>
      <c r="H239" s="21" t="s">
        <v>305</v>
      </c>
      <c r="I239" s="25">
        <v>0</v>
      </c>
      <c r="J239" s="25">
        <v>2</v>
      </c>
      <c r="K239" s="21" t="s">
        <v>306</v>
      </c>
      <c r="L239" s="25">
        <v>0</v>
      </c>
    </row>
    <row r="240" spans="1:12" ht="75" hidden="1" x14ac:dyDescent="0.25">
      <c r="A240" s="21" t="s">
        <v>432</v>
      </c>
      <c r="B240" s="19" t="s">
        <v>174</v>
      </c>
      <c r="C240" s="21" t="s">
        <v>175</v>
      </c>
      <c r="D240" s="25">
        <v>77350000</v>
      </c>
      <c r="E240" s="25">
        <v>13650000</v>
      </c>
      <c r="F240" s="25">
        <v>91000000</v>
      </c>
      <c r="G240" s="25"/>
      <c r="H240" s="21" t="s">
        <v>307</v>
      </c>
      <c r="I240" s="25">
        <v>0</v>
      </c>
      <c r="J240" s="25">
        <v>114002</v>
      </c>
      <c r="K240" s="21"/>
      <c r="L240" s="25"/>
    </row>
    <row r="241" spans="1:12" ht="75" hidden="1" x14ac:dyDescent="0.25">
      <c r="A241" s="21" t="s">
        <v>433</v>
      </c>
      <c r="B241" s="19" t="s">
        <v>66</v>
      </c>
      <c r="C241" s="21" t="s">
        <v>67</v>
      </c>
      <c r="D241" s="25">
        <v>31280000</v>
      </c>
      <c r="E241" s="25">
        <v>5520000</v>
      </c>
      <c r="F241" s="25">
        <v>36800000</v>
      </c>
      <c r="G241" s="25">
        <v>0</v>
      </c>
      <c r="H241" s="21" t="s">
        <v>305</v>
      </c>
      <c r="I241" s="25">
        <v>28</v>
      </c>
      <c r="J241" s="25">
        <v>169</v>
      </c>
      <c r="K241" s="21" t="s">
        <v>306</v>
      </c>
      <c r="L241" s="25">
        <v>194</v>
      </c>
    </row>
    <row r="242" spans="1:12" ht="75" hidden="1" x14ac:dyDescent="0.25">
      <c r="A242" s="21" t="s">
        <v>396</v>
      </c>
      <c r="B242" s="19" t="s">
        <v>66</v>
      </c>
      <c r="C242" s="21" t="s">
        <v>67</v>
      </c>
      <c r="D242" s="25">
        <v>85588621</v>
      </c>
      <c r="E242" s="25">
        <v>28529539</v>
      </c>
      <c r="F242" s="25">
        <v>114118160</v>
      </c>
      <c r="G242" s="25">
        <v>4.5092837516055893</v>
      </c>
      <c r="H242" s="21" t="s">
        <v>307</v>
      </c>
      <c r="I242" s="25">
        <v>0</v>
      </c>
      <c r="J242" s="25">
        <v>2</v>
      </c>
      <c r="K242" s="21"/>
      <c r="L242" s="25">
        <v>0</v>
      </c>
    </row>
    <row r="243" spans="1:12" ht="150" hidden="1" x14ac:dyDescent="0.25">
      <c r="A243" s="21"/>
      <c r="B243" s="19"/>
      <c r="C243" s="21"/>
      <c r="D243" s="25"/>
      <c r="E243" s="25"/>
      <c r="F243" s="25"/>
      <c r="G243" s="25"/>
      <c r="H243" s="21" t="s">
        <v>318</v>
      </c>
      <c r="I243" s="25">
        <v>0</v>
      </c>
      <c r="J243" s="25">
        <v>205071527</v>
      </c>
      <c r="K243" s="21" t="s">
        <v>319</v>
      </c>
      <c r="L243" s="25">
        <v>6659098</v>
      </c>
    </row>
    <row r="244" spans="1:12" ht="45" hidden="1" x14ac:dyDescent="0.25">
      <c r="A244" s="21"/>
      <c r="B244" s="19">
        <v>179</v>
      </c>
      <c r="C244" s="21" t="s">
        <v>301</v>
      </c>
      <c r="D244" s="25">
        <v>8700000</v>
      </c>
      <c r="E244" s="25">
        <v>2900000</v>
      </c>
      <c r="F244" s="25">
        <v>11600000</v>
      </c>
      <c r="G244" s="25">
        <v>1657142.857142857</v>
      </c>
      <c r="H244" s="21" t="s">
        <v>435</v>
      </c>
      <c r="I244" s="25">
        <v>1</v>
      </c>
      <c r="J244" s="25">
        <v>7</v>
      </c>
      <c r="K244" s="21"/>
      <c r="L244" s="25"/>
    </row>
    <row r="245" spans="1:12" ht="30" hidden="1" x14ac:dyDescent="0.25">
      <c r="A245" s="21"/>
      <c r="B245" s="19">
        <v>181</v>
      </c>
      <c r="C245" s="21" t="s">
        <v>303</v>
      </c>
      <c r="D245" s="25">
        <v>1397025</v>
      </c>
      <c r="E245" s="25">
        <v>465675</v>
      </c>
      <c r="F245" s="25">
        <v>1862700</v>
      </c>
      <c r="G245" s="25">
        <v>620900</v>
      </c>
      <c r="H245" s="21" t="s">
        <v>434</v>
      </c>
      <c r="I245" s="25">
        <v>1</v>
      </c>
      <c r="J245" s="25">
        <v>3</v>
      </c>
      <c r="K245" s="21"/>
      <c r="L245" s="25"/>
    </row>
    <row r="246" spans="1:12" ht="45" hidden="1" x14ac:dyDescent="0.25">
      <c r="A246" s="21" t="s">
        <v>397</v>
      </c>
      <c r="B246" s="19">
        <v>180</v>
      </c>
      <c r="C246" s="21" t="s">
        <v>302</v>
      </c>
      <c r="D246" s="25">
        <v>72339938</v>
      </c>
      <c r="E246" s="25">
        <v>24113312</v>
      </c>
      <c r="F246" s="25">
        <v>96453250</v>
      </c>
      <c r="G246" s="25">
        <v>2857.8740740740741</v>
      </c>
      <c r="H246" s="21" t="s">
        <v>437</v>
      </c>
      <c r="I246" s="25">
        <v>150</v>
      </c>
      <c r="J246" s="25">
        <v>375</v>
      </c>
      <c r="K246" s="21"/>
      <c r="L246" s="25"/>
    </row>
    <row r="247" spans="1:12" ht="60" hidden="1" x14ac:dyDescent="0.25">
      <c r="A247" s="21" t="s">
        <v>399</v>
      </c>
      <c r="B247" s="19"/>
      <c r="C247" s="21"/>
      <c r="D247" s="25">
        <v>1206000</v>
      </c>
      <c r="E247" s="25">
        <v>402000</v>
      </c>
      <c r="F247" s="25">
        <v>1608000</v>
      </c>
      <c r="G247" s="25">
        <v>402</v>
      </c>
      <c r="H247" s="21" t="s">
        <v>436</v>
      </c>
      <c r="I247" s="25">
        <v>667</v>
      </c>
      <c r="J247" s="25">
        <v>4000</v>
      </c>
      <c r="K247" s="21"/>
      <c r="L247" s="25"/>
    </row>
    <row r="248" spans="1:12" ht="75" hidden="1" x14ac:dyDescent="0.25">
      <c r="A248" s="21" t="s">
        <v>398</v>
      </c>
      <c r="B248" s="19">
        <v>182</v>
      </c>
      <c r="C248" s="21" t="s">
        <v>304</v>
      </c>
      <c r="D248" s="25">
        <v>843750</v>
      </c>
      <c r="E248" s="25">
        <v>281250</v>
      </c>
      <c r="F248" s="25">
        <v>1125000</v>
      </c>
      <c r="G248" s="25">
        <v>3000</v>
      </c>
      <c r="H248" s="21"/>
      <c r="I248" s="25"/>
      <c r="J248" s="25"/>
      <c r="K248" s="21"/>
      <c r="L248" s="25"/>
    </row>
    <row r="249" spans="1:12" ht="60" hidden="1" x14ac:dyDescent="0.25">
      <c r="A249" s="21" t="s">
        <v>400</v>
      </c>
      <c r="B249" s="19"/>
      <c r="C249" s="21"/>
      <c r="D249" s="25">
        <v>1101908</v>
      </c>
      <c r="E249" s="25">
        <v>367302</v>
      </c>
      <c r="F249" s="25">
        <v>1469210</v>
      </c>
      <c r="G249" s="25">
        <v>73460.5</v>
      </c>
      <c r="H249" s="21" t="s">
        <v>438</v>
      </c>
      <c r="I249" s="25">
        <v>244869</v>
      </c>
      <c r="J249" s="25">
        <v>1469211</v>
      </c>
      <c r="K249" s="21"/>
      <c r="L249" s="25"/>
    </row>
    <row r="250" spans="1:12" x14ac:dyDescent="0.25">
      <c r="I250" s="15"/>
      <c r="J250" s="15"/>
    </row>
  </sheetData>
  <autoFilter ref="A1:P249" xr:uid="{55B870A0-B6CB-4EA4-BB37-5673A32058B9}">
    <filterColumn colId="7">
      <filters>
        <filter val="S8 -Populația vizată de proiecte derulate în cadrul strategiilor de dezvoltare teritorială integrată"/>
        <filter val="S9 -Strategii de dezvoltare teritorială integrată care beneficiază de sprijin"/>
      </filters>
    </filterColumn>
  </autoFilter>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AF49D-F766-461E-93D6-BD945930AC98}">
  <sheetPr>
    <tabColor rgb="FF00B0F0"/>
  </sheetPr>
  <dimension ref="A1:O32"/>
  <sheetViews>
    <sheetView tabSelected="1" zoomScale="70" zoomScaleNormal="70" workbookViewId="0">
      <selection activeCell="O14" sqref="O14"/>
    </sheetView>
  </sheetViews>
  <sheetFormatPr defaultRowHeight="15" x14ac:dyDescent="0.25"/>
  <cols>
    <col min="1" max="1" width="25.5703125" style="14" customWidth="1"/>
    <col min="2" max="2" width="11" style="13" customWidth="1"/>
    <col min="3" max="3" width="36.5703125" style="14" customWidth="1"/>
    <col min="4" max="4" width="17.42578125" style="14" customWidth="1"/>
    <col min="5" max="5" width="18.140625" style="14" customWidth="1"/>
    <col min="6" max="6" width="22.7109375" style="14" customWidth="1"/>
    <col min="7" max="7" width="27.5703125" style="14" customWidth="1"/>
    <col min="8" max="8" width="13.42578125" style="14" customWidth="1"/>
    <col min="9" max="9" width="12.5703125" style="14" customWidth="1"/>
    <col min="10" max="10" width="29.85546875" style="14" customWidth="1"/>
    <col min="11" max="11" width="15" style="14" customWidth="1"/>
    <col min="12" max="12" width="14.7109375" style="14" customWidth="1"/>
    <col min="13" max="13" width="15" style="14" bestFit="1" customWidth="1"/>
    <col min="14" max="14" width="9.140625" style="14"/>
    <col min="15" max="15" width="43.7109375" style="14" customWidth="1"/>
    <col min="16" max="16" width="9.140625" style="14"/>
    <col min="17" max="17" width="11.140625" style="14" bestFit="1" customWidth="1"/>
    <col min="18" max="16384" width="9.140625" style="14"/>
  </cols>
  <sheetData>
    <row r="1" spans="1:15" ht="32.25" customHeight="1" x14ac:dyDescent="0.25"/>
    <row r="2" spans="1:15" s="42" customFormat="1" ht="30" x14ac:dyDescent="0.25">
      <c r="A2" s="34" t="s">
        <v>377</v>
      </c>
      <c r="B2" s="208" t="s">
        <v>378</v>
      </c>
      <c r="C2" s="34" t="s">
        <v>379</v>
      </c>
      <c r="D2" s="38" t="s">
        <v>411</v>
      </c>
      <c r="E2" s="38" t="s">
        <v>412</v>
      </c>
      <c r="F2" s="38" t="s">
        <v>413</v>
      </c>
      <c r="G2" s="34" t="s">
        <v>385</v>
      </c>
      <c r="H2" s="40" t="s">
        <v>514</v>
      </c>
      <c r="I2" s="34">
        <v>2029</v>
      </c>
      <c r="J2" s="34" t="s">
        <v>386</v>
      </c>
      <c r="K2" s="40" t="s">
        <v>514</v>
      </c>
      <c r="L2" s="34" t="s">
        <v>500</v>
      </c>
      <c r="M2" s="34">
        <v>2029</v>
      </c>
      <c r="N2" s="580" t="s">
        <v>750</v>
      </c>
      <c r="O2" s="581"/>
    </row>
    <row r="3" spans="1:15" s="37" customFormat="1" x14ac:dyDescent="0.25">
      <c r="A3" s="31" t="s">
        <v>572</v>
      </c>
      <c r="B3" s="208"/>
      <c r="C3" s="31" t="s">
        <v>574</v>
      </c>
      <c r="D3" s="35">
        <v>2139715532</v>
      </c>
      <c r="E3" s="35">
        <v>391022526</v>
      </c>
      <c r="F3" s="35">
        <v>2530738058</v>
      </c>
      <c r="G3" s="31"/>
      <c r="H3" s="31"/>
      <c r="I3" s="31"/>
      <c r="J3" s="34"/>
      <c r="K3" s="34"/>
      <c r="L3" s="34"/>
      <c r="M3" s="31"/>
      <c r="N3" s="582"/>
      <c r="O3" s="583"/>
    </row>
    <row r="4" spans="1:15" s="37" customFormat="1" ht="30" x14ac:dyDescent="0.25">
      <c r="A4" s="31" t="s">
        <v>579</v>
      </c>
      <c r="B4" s="208"/>
      <c r="C4" s="31" t="s">
        <v>580</v>
      </c>
      <c r="D4" s="35">
        <v>158000000</v>
      </c>
      <c r="E4" s="35">
        <f>F4-D4</f>
        <v>27882353</v>
      </c>
      <c r="F4" s="35">
        <v>185882353</v>
      </c>
      <c r="G4" s="31"/>
      <c r="H4" s="31"/>
      <c r="I4" s="34"/>
      <c r="J4" s="31"/>
      <c r="K4" s="31"/>
      <c r="L4" s="31"/>
      <c r="M4" s="31"/>
      <c r="N4" s="584"/>
      <c r="O4" s="585"/>
    </row>
    <row r="5" spans="1:15" x14ac:dyDescent="0.25">
      <c r="A5" s="22" t="s">
        <v>698</v>
      </c>
      <c r="B5" s="24"/>
      <c r="C5" s="22" t="s">
        <v>510</v>
      </c>
      <c r="D5" s="27">
        <f>SUM(D8:D9)</f>
        <v>148055000</v>
      </c>
      <c r="E5" s="27">
        <f>SUM(E8:E9)</f>
        <v>26127353</v>
      </c>
      <c r="F5" s="27">
        <f>SUM(F8:F9)</f>
        <v>174182353</v>
      </c>
      <c r="G5" s="22"/>
      <c r="H5" s="22"/>
      <c r="I5" s="24"/>
      <c r="J5" s="22"/>
      <c r="K5" s="22"/>
      <c r="L5" s="22"/>
      <c r="M5" s="22"/>
      <c r="N5" s="584"/>
      <c r="O5" s="585"/>
    </row>
    <row r="6" spans="1:15" x14ac:dyDescent="0.25">
      <c r="A6" s="22"/>
      <c r="B6" s="24"/>
      <c r="C6" s="22"/>
      <c r="D6" s="27">
        <f>D8+D9+D10</f>
        <v>158000000</v>
      </c>
      <c r="E6" s="27">
        <f>E8+E9+E10</f>
        <v>27882353</v>
      </c>
      <c r="F6" s="27">
        <f>F8+F9+F10</f>
        <v>185882353</v>
      </c>
      <c r="G6" s="22"/>
      <c r="H6" s="22"/>
      <c r="I6" s="24"/>
      <c r="J6" s="22"/>
      <c r="K6" s="22"/>
      <c r="L6" s="22"/>
      <c r="M6" s="22"/>
      <c r="N6" s="584"/>
      <c r="O6" s="585"/>
    </row>
    <row r="7" spans="1:15" x14ac:dyDescent="0.25">
      <c r="A7" s="21" t="s">
        <v>401</v>
      </c>
      <c r="B7" s="93"/>
      <c r="C7" s="21"/>
      <c r="D7" s="25">
        <f>D6-D4</f>
        <v>0</v>
      </c>
      <c r="E7" s="25">
        <f t="shared" ref="E7:F7" si="0">E6-E4</f>
        <v>0</v>
      </c>
      <c r="F7" s="25">
        <f t="shared" si="0"/>
        <v>0</v>
      </c>
      <c r="G7" s="21"/>
      <c r="H7" s="21"/>
      <c r="I7" s="19"/>
      <c r="J7" s="21"/>
      <c r="K7" s="21"/>
      <c r="L7" s="21"/>
      <c r="M7" s="21"/>
      <c r="N7" s="586"/>
      <c r="O7" s="587"/>
    </row>
    <row r="8" spans="1:15" ht="73.5" customHeight="1" x14ac:dyDescent="0.25">
      <c r="A8" s="518" t="s">
        <v>741</v>
      </c>
      <c r="B8" s="209" t="s">
        <v>104</v>
      </c>
      <c r="C8" s="21" t="s">
        <v>105</v>
      </c>
      <c r="D8" s="459">
        <v>74027500</v>
      </c>
      <c r="E8" s="459">
        <f>F8-D8</f>
        <v>13063676</v>
      </c>
      <c r="F8" s="459">
        <f>ROUND(D8/0.85,0)</f>
        <v>87091176</v>
      </c>
      <c r="G8" s="590" t="s">
        <v>512</v>
      </c>
      <c r="H8" s="496" t="s">
        <v>542</v>
      </c>
      <c r="I8" s="592">
        <v>4769</v>
      </c>
      <c r="J8" s="22" t="s">
        <v>513</v>
      </c>
      <c r="K8" s="23" t="s">
        <v>531</v>
      </c>
      <c r="L8" s="100">
        <v>11445</v>
      </c>
      <c r="M8" s="33">
        <v>7554</v>
      </c>
      <c r="N8" s="453">
        <f>1-M8/L8</f>
        <v>0.33997378768020969</v>
      </c>
      <c r="O8" s="56" t="s">
        <v>569</v>
      </c>
    </row>
    <row r="9" spans="1:15" ht="79.5" customHeight="1" x14ac:dyDescent="0.25">
      <c r="A9" s="520"/>
      <c r="B9" s="209" t="s">
        <v>106</v>
      </c>
      <c r="C9" s="21" t="s">
        <v>511</v>
      </c>
      <c r="D9" s="459">
        <v>74027500</v>
      </c>
      <c r="E9" s="459">
        <f>F9-D9</f>
        <v>13063677</v>
      </c>
      <c r="F9" s="459">
        <v>87091177</v>
      </c>
      <c r="G9" s="591"/>
      <c r="H9" s="497"/>
      <c r="I9" s="593"/>
      <c r="J9" s="223" t="s">
        <v>624</v>
      </c>
      <c r="K9" s="23" t="s">
        <v>545</v>
      </c>
      <c r="L9" s="100">
        <v>7154</v>
      </c>
      <c r="M9" s="33">
        <v>5007</v>
      </c>
      <c r="N9" s="453">
        <f>1-M9/L9</f>
        <v>0.30011182555213867</v>
      </c>
      <c r="O9" s="56" t="s">
        <v>570</v>
      </c>
    </row>
    <row r="10" spans="1:15" ht="141.75" customHeight="1" x14ac:dyDescent="0.25">
      <c r="A10" s="280" t="s">
        <v>740</v>
      </c>
      <c r="B10" s="387">
        <v>126</v>
      </c>
      <c r="C10" s="280" t="s">
        <v>248</v>
      </c>
      <c r="D10" s="459">
        <f>F10*0.85</f>
        <v>9945000</v>
      </c>
      <c r="E10" s="459">
        <f>F10-D10</f>
        <v>1755000</v>
      </c>
      <c r="F10" s="459">
        <f>I10*90000</f>
        <v>11700000</v>
      </c>
      <c r="G10" s="343" t="s">
        <v>696</v>
      </c>
      <c r="H10" s="388" t="s">
        <v>515</v>
      </c>
      <c r="I10" s="388">
        <v>130</v>
      </c>
      <c r="J10" s="343" t="s">
        <v>697</v>
      </c>
      <c r="K10" s="388" t="s">
        <v>526</v>
      </c>
      <c r="L10" s="388">
        <v>0</v>
      </c>
      <c r="M10" s="388">
        <v>130</v>
      </c>
      <c r="N10" s="588" t="s">
        <v>749</v>
      </c>
      <c r="O10" s="589"/>
    </row>
    <row r="11" spans="1:15" s="292" customFormat="1" ht="35.25" customHeight="1" x14ac:dyDescent="0.25">
      <c r="A11" s="362"/>
      <c r="B11" s="361"/>
      <c r="C11" s="362"/>
      <c r="D11" s="407"/>
      <c r="E11" s="407"/>
      <c r="F11" s="407"/>
      <c r="G11" s="362"/>
      <c r="H11" s="362"/>
      <c r="I11" s="362"/>
      <c r="J11" s="362"/>
      <c r="K11" s="362"/>
      <c r="L11" s="362"/>
      <c r="M11" s="362"/>
    </row>
    <row r="12" spans="1:15" ht="30" x14ac:dyDescent="0.25">
      <c r="D12" s="19" t="s">
        <v>736</v>
      </c>
      <c r="E12" s="19" t="s">
        <v>737</v>
      </c>
      <c r="F12" s="408">
        <f>D10/130</f>
        <v>76500</v>
      </c>
      <c r="G12"/>
      <c r="H12"/>
    </row>
    <row r="13" spans="1:15" x14ac:dyDescent="0.25">
      <c r="A13" s="579" t="s">
        <v>605</v>
      </c>
      <c r="B13" s="579"/>
      <c r="C13" s="108" t="s">
        <v>606</v>
      </c>
      <c r="D13" s="109">
        <f>'[1]P6 (MS)'!J5</f>
        <v>18952365</v>
      </c>
      <c r="E13" s="410">
        <f>20*F12</f>
        <v>1530000</v>
      </c>
      <c r="F13" s="18"/>
    </row>
    <row r="14" spans="1:15" x14ac:dyDescent="0.25">
      <c r="A14" s="579"/>
      <c r="B14" s="579"/>
      <c r="C14" s="108" t="s">
        <v>607</v>
      </c>
      <c r="D14" s="109">
        <f>'[1]P5 (PH)'!K5</f>
        <v>16264216</v>
      </c>
      <c r="E14" s="410">
        <f>5*F12</f>
        <v>382500</v>
      </c>
      <c r="F14" s="409">
        <f>D4/F4</f>
        <v>0.8499999997310127</v>
      </c>
    </row>
    <row r="15" spans="1:15" ht="20.25" customHeight="1" x14ac:dyDescent="0.25">
      <c r="A15" s="579"/>
      <c r="B15" s="579"/>
      <c r="C15" s="108" t="s">
        <v>608</v>
      </c>
      <c r="D15" s="109">
        <f>'[1]P4 (GL)'!M5</f>
        <v>20472561</v>
      </c>
      <c r="E15" s="411"/>
      <c r="G15" s="433" t="s">
        <v>753</v>
      </c>
    </row>
    <row r="16" spans="1:15" ht="30" x14ac:dyDescent="0.25">
      <c r="A16" s="579"/>
      <c r="B16" s="579"/>
      <c r="C16" s="108" t="s">
        <v>609</v>
      </c>
      <c r="D16" s="109">
        <f>'[1]P3 (DJ)'!L5</f>
        <v>29090417</v>
      </c>
      <c r="E16" s="412"/>
      <c r="G16" s="21" t="s">
        <v>563</v>
      </c>
      <c r="H16" s="21"/>
      <c r="I16" s="21"/>
      <c r="J16" s="21"/>
      <c r="K16" s="21"/>
      <c r="L16" s="18"/>
      <c r="M16" s="18"/>
      <c r="O16" s="18"/>
    </row>
    <row r="17" spans="1:15" ht="30" x14ac:dyDescent="0.25">
      <c r="A17" s="579"/>
      <c r="B17" s="579"/>
      <c r="C17" s="108" t="s">
        <v>610</v>
      </c>
      <c r="D17" s="109">
        <f>'[1]P2 (HD)'!M5</f>
        <v>36311935</v>
      </c>
      <c r="E17" s="411"/>
      <c r="G17" s="21" t="s">
        <v>546</v>
      </c>
      <c r="H17" s="21">
        <v>730.39</v>
      </c>
      <c r="I17" s="21"/>
      <c r="J17" s="21" t="s">
        <v>561</v>
      </c>
      <c r="K17" s="28">
        <f>F5/H17</f>
        <v>238478.55666150962</v>
      </c>
      <c r="M17" s="18"/>
      <c r="O17" s="18"/>
    </row>
    <row r="18" spans="1:15" ht="30" x14ac:dyDescent="0.25">
      <c r="A18" s="579"/>
      <c r="B18" s="579"/>
      <c r="C18" s="108" t="s">
        <v>611</v>
      </c>
      <c r="D18" s="109">
        <f>'[1]P1 (GJ)'!M5</f>
        <v>36908506</v>
      </c>
      <c r="E18" s="410">
        <f>105*F12</f>
        <v>8032500</v>
      </c>
      <c r="G18" s="21" t="s">
        <v>560</v>
      </c>
      <c r="H18" s="21">
        <v>50</v>
      </c>
      <c r="I18" s="21"/>
      <c r="J18" s="21" t="s">
        <v>551</v>
      </c>
      <c r="K18" s="28">
        <f>K17/H18</f>
        <v>4769.5711332301926</v>
      </c>
      <c r="M18" s="18"/>
      <c r="O18" s="18"/>
    </row>
    <row r="19" spans="1:15" ht="15.75" customHeight="1" x14ac:dyDescent="0.25">
      <c r="A19" s="579" t="s">
        <v>612</v>
      </c>
      <c r="B19" s="579"/>
      <c r="C19" s="579"/>
      <c r="D19" s="110">
        <f>SUM(D13:D18)</f>
        <v>158000000</v>
      </c>
      <c r="E19" s="413">
        <f>E18+E14+E13</f>
        <v>9945000</v>
      </c>
      <c r="I19" s="21"/>
      <c r="J19" s="21"/>
      <c r="K19" s="21"/>
    </row>
    <row r="20" spans="1:15" x14ac:dyDescent="0.25">
      <c r="I20" s="21"/>
      <c r="J20" s="31" t="s">
        <v>565</v>
      </c>
      <c r="K20" s="21"/>
    </row>
    <row r="21" spans="1:15" x14ac:dyDescent="0.25">
      <c r="H21" s="43"/>
      <c r="I21" s="21" t="s">
        <v>543</v>
      </c>
      <c r="J21" s="21" t="s">
        <v>566</v>
      </c>
      <c r="K21" s="25">
        <v>9120</v>
      </c>
      <c r="L21" s="18"/>
    </row>
    <row r="22" spans="1:15" x14ac:dyDescent="0.25">
      <c r="I22" s="21"/>
      <c r="J22" s="21" t="s">
        <v>564</v>
      </c>
      <c r="K22" s="25">
        <f>K21*4769/3800</f>
        <v>11445.6</v>
      </c>
    </row>
    <row r="23" spans="1:15" x14ac:dyDescent="0.25">
      <c r="I23" s="21"/>
      <c r="J23" s="31" t="s">
        <v>562</v>
      </c>
      <c r="K23" s="21"/>
    </row>
    <row r="24" spans="1:15" ht="30" x14ac:dyDescent="0.25">
      <c r="I24" s="21" t="s">
        <v>543</v>
      </c>
      <c r="J24" s="21" t="s">
        <v>699</v>
      </c>
      <c r="K24" s="25">
        <f>K22*50/100*80/100+K22*30/100*60/100+K22*20/100*40/100</f>
        <v>7554.0960000000005</v>
      </c>
    </row>
    <row r="25" spans="1:15" x14ac:dyDescent="0.25">
      <c r="I25" s="21"/>
      <c r="J25" s="21"/>
      <c r="K25" s="21"/>
    </row>
    <row r="26" spans="1:15" ht="30" x14ac:dyDescent="0.25">
      <c r="D26" s="18"/>
      <c r="I26" s="21"/>
      <c r="J26" s="21" t="s">
        <v>567</v>
      </c>
      <c r="K26" s="21" t="s">
        <v>568</v>
      </c>
    </row>
    <row r="27" spans="1:15" x14ac:dyDescent="0.25">
      <c r="D27" s="18"/>
      <c r="I27" s="21"/>
      <c r="J27" s="31" t="s">
        <v>565</v>
      </c>
      <c r="K27" s="21"/>
    </row>
    <row r="28" spans="1:15" x14ac:dyDescent="0.25">
      <c r="I28" s="21" t="s">
        <v>544</v>
      </c>
      <c r="J28" s="21" t="s">
        <v>545</v>
      </c>
      <c r="K28" s="45">
        <f>30*50*4769/1000</f>
        <v>7153.5</v>
      </c>
    </row>
    <row r="29" spans="1:15" x14ac:dyDescent="0.25">
      <c r="I29" s="21"/>
      <c r="J29" s="31" t="s">
        <v>562</v>
      </c>
      <c r="K29" s="21"/>
    </row>
    <row r="30" spans="1:15" x14ac:dyDescent="0.25">
      <c r="D30" s="15"/>
      <c r="E30" s="18"/>
      <c r="I30" s="21" t="s">
        <v>544</v>
      </c>
      <c r="J30" s="21" t="s">
        <v>545</v>
      </c>
      <c r="K30" s="45">
        <f>K28*70/100</f>
        <v>5007.45</v>
      </c>
    </row>
    <row r="32" spans="1:15" x14ac:dyDescent="0.25">
      <c r="D32" s="403"/>
      <c r="E32" s="403"/>
    </row>
  </sheetData>
  <mergeCells count="9">
    <mergeCell ref="A13:B18"/>
    <mergeCell ref="A19:C19"/>
    <mergeCell ref="A8:A9"/>
    <mergeCell ref="N2:O2"/>
    <mergeCell ref="N3:O7"/>
    <mergeCell ref="N10:O10"/>
    <mergeCell ref="G8:G9"/>
    <mergeCell ref="H8:H9"/>
    <mergeCell ref="I8:I9"/>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88"/>
  <sheetViews>
    <sheetView zoomScale="150" zoomScaleNormal="150" workbookViewId="0">
      <selection activeCell="G40" sqref="G40"/>
    </sheetView>
  </sheetViews>
  <sheetFormatPr defaultRowHeight="12.75" x14ac:dyDescent="0.25"/>
  <cols>
    <col min="1" max="1" width="7.42578125" style="98" customWidth="1"/>
    <col min="2" max="2" width="93.28515625" style="96" customWidth="1"/>
    <col min="3" max="4" width="9.140625" style="99"/>
    <col min="5" max="5" width="9.85546875" style="96" customWidth="1"/>
    <col min="6" max="16384" width="9.140625" style="96"/>
  </cols>
  <sheetData>
    <row r="1" spans="1:4" ht="25.5" x14ac:dyDescent="0.25">
      <c r="A1" s="67" t="s">
        <v>22</v>
      </c>
      <c r="B1" s="68" t="s">
        <v>23</v>
      </c>
      <c r="C1" s="69" t="s">
        <v>24</v>
      </c>
      <c r="D1" s="69" t="s">
        <v>24</v>
      </c>
    </row>
    <row r="2" spans="1:4" ht="25.5" x14ac:dyDescent="0.25">
      <c r="A2" s="67" t="s">
        <v>25</v>
      </c>
      <c r="B2" s="68" t="s">
        <v>26</v>
      </c>
      <c r="C2" s="69" t="s">
        <v>24</v>
      </c>
      <c r="D2" s="69" t="s">
        <v>24</v>
      </c>
    </row>
    <row r="3" spans="1:4" ht="25.5" x14ac:dyDescent="0.25">
      <c r="A3" s="67" t="s">
        <v>27</v>
      </c>
      <c r="B3" s="97" t="s">
        <v>28</v>
      </c>
      <c r="C3" s="69" t="s">
        <v>24</v>
      </c>
      <c r="D3" s="69" t="s">
        <v>24</v>
      </c>
    </row>
    <row r="4" spans="1:4" ht="25.5" x14ac:dyDescent="0.25">
      <c r="A4" s="67" t="s">
        <v>29</v>
      </c>
      <c r="B4" s="68" t="s">
        <v>30</v>
      </c>
      <c r="C4" s="69" t="s">
        <v>24</v>
      </c>
      <c r="D4" s="69" t="s">
        <v>24</v>
      </c>
    </row>
    <row r="5" spans="1:4" x14ac:dyDescent="0.25">
      <c r="A5" s="67" t="s">
        <v>31</v>
      </c>
      <c r="B5" s="68" t="s">
        <v>32</v>
      </c>
      <c r="C5" s="69" t="s">
        <v>24</v>
      </c>
      <c r="D5" s="69" t="s">
        <v>24</v>
      </c>
    </row>
    <row r="6" spans="1:4" ht="25.5" x14ac:dyDescent="0.25">
      <c r="A6" s="67" t="s">
        <v>33</v>
      </c>
      <c r="B6" s="68" t="s">
        <v>34</v>
      </c>
      <c r="C6" s="69" t="s">
        <v>24</v>
      </c>
      <c r="D6" s="69" t="s">
        <v>24</v>
      </c>
    </row>
    <row r="7" spans="1:4" x14ac:dyDescent="0.25">
      <c r="A7" s="67" t="s">
        <v>35</v>
      </c>
      <c r="B7" s="68" t="s">
        <v>36</v>
      </c>
      <c r="C7" s="69" t="s">
        <v>24</v>
      </c>
      <c r="D7" s="69" t="s">
        <v>24</v>
      </c>
    </row>
    <row r="8" spans="1:4" ht="25.5" x14ac:dyDescent="0.25">
      <c r="A8" s="67" t="s">
        <v>37</v>
      </c>
      <c r="B8" s="68" t="s">
        <v>38</v>
      </c>
      <c r="C8" s="69" t="s">
        <v>24</v>
      </c>
      <c r="D8" s="69" t="s">
        <v>24</v>
      </c>
    </row>
    <row r="9" spans="1:4" ht="25.5" x14ac:dyDescent="0.25">
      <c r="A9" s="67" t="s">
        <v>39</v>
      </c>
      <c r="B9" s="68" t="s">
        <v>40</v>
      </c>
      <c r="C9" s="69" t="s">
        <v>24</v>
      </c>
      <c r="D9" s="69" t="s">
        <v>24</v>
      </c>
    </row>
    <row r="10" spans="1:4" x14ac:dyDescent="0.25">
      <c r="A10" s="67" t="s">
        <v>41</v>
      </c>
      <c r="B10" s="68" t="s">
        <v>42</v>
      </c>
      <c r="C10" s="69" t="s">
        <v>24</v>
      </c>
      <c r="D10" s="69" t="s">
        <v>24</v>
      </c>
    </row>
    <row r="11" spans="1:4" x14ac:dyDescent="0.25">
      <c r="A11" s="67" t="s">
        <v>43</v>
      </c>
      <c r="B11" s="68" t="s">
        <v>44</v>
      </c>
      <c r="C11" s="69" t="s">
        <v>24</v>
      </c>
      <c r="D11" s="69" t="s">
        <v>24</v>
      </c>
    </row>
    <row r="12" spans="1:4" ht="25.5" x14ac:dyDescent="0.25">
      <c r="A12" s="67" t="s">
        <v>45</v>
      </c>
      <c r="B12" s="68" t="s">
        <v>46</v>
      </c>
      <c r="C12" s="69" t="s">
        <v>24</v>
      </c>
      <c r="D12" s="69" t="s">
        <v>24</v>
      </c>
    </row>
    <row r="13" spans="1:4" ht="25.5" x14ac:dyDescent="0.25">
      <c r="A13" s="67" t="s">
        <v>47</v>
      </c>
      <c r="B13" s="68" t="s">
        <v>48</v>
      </c>
      <c r="C13" s="69" t="s">
        <v>24</v>
      </c>
      <c r="D13" s="69" t="s">
        <v>24</v>
      </c>
    </row>
    <row r="14" spans="1:4" ht="38.25" x14ac:dyDescent="0.25">
      <c r="A14" s="67" t="s">
        <v>49</v>
      </c>
      <c r="B14" s="68" t="s">
        <v>50</v>
      </c>
      <c r="C14" s="69" t="s">
        <v>24</v>
      </c>
      <c r="D14" s="69" t="s">
        <v>24</v>
      </c>
    </row>
    <row r="15" spans="1:4" ht="51" x14ac:dyDescent="0.25">
      <c r="A15" s="67" t="s">
        <v>51</v>
      </c>
      <c r="B15" s="97" t="s">
        <v>52</v>
      </c>
      <c r="C15" s="69" t="s">
        <v>53</v>
      </c>
      <c r="D15" s="69" t="s">
        <v>24</v>
      </c>
    </row>
    <row r="16" spans="1:4" ht="20.45" customHeight="1" x14ac:dyDescent="0.25">
      <c r="A16" s="67" t="s">
        <v>54</v>
      </c>
      <c r="B16" s="68" t="s">
        <v>55</v>
      </c>
      <c r="C16" s="69" t="s">
        <v>24</v>
      </c>
      <c r="D16" s="69" t="s">
        <v>24</v>
      </c>
    </row>
    <row r="17" spans="1:4" ht="25.5" x14ac:dyDescent="0.25">
      <c r="A17" s="67" t="s">
        <v>56</v>
      </c>
      <c r="B17" s="97" t="s">
        <v>57</v>
      </c>
      <c r="C17" s="69" t="s">
        <v>53</v>
      </c>
      <c r="D17" s="69" t="s">
        <v>24</v>
      </c>
    </row>
    <row r="18" spans="1:4" x14ac:dyDescent="0.25">
      <c r="A18" s="67" t="s">
        <v>58</v>
      </c>
      <c r="B18" s="68" t="s">
        <v>59</v>
      </c>
      <c r="C18" s="69" t="s">
        <v>24</v>
      </c>
      <c r="D18" s="69" t="s">
        <v>24</v>
      </c>
    </row>
    <row r="19" spans="1:4" ht="25.5" x14ac:dyDescent="0.25">
      <c r="A19" s="67" t="s">
        <v>60</v>
      </c>
      <c r="B19" s="68" t="s">
        <v>61</v>
      </c>
      <c r="C19" s="69" t="s">
        <v>24</v>
      </c>
      <c r="D19" s="69" t="s">
        <v>24</v>
      </c>
    </row>
    <row r="20" spans="1:4" x14ac:dyDescent="0.25">
      <c r="A20" s="191" t="s">
        <v>62</v>
      </c>
      <c r="B20" s="192" t="s">
        <v>63</v>
      </c>
      <c r="C20" s="193" t="s">
        <v>24</v>
      </c>
      <c r="D20" s="193" t="s">
        <v>24</v>
      </c>
    </row>
    <row r="21" spans="1:4" x14ac:dyDescent="0.25">
      <c r="A21" s="191" t="s">
        <v>64</v>
      </c>
      <c r="B21" s="192" t="s">
        <v>65</v>
      </c>
      <c r="C21" s="193" t="s">
        <v>24</v>
      </c>
      <c r="D21" s="193" t="s">
        <v>24</v>
      </c>
    </row>
    <row r="22" spans="1:4" x14ac:dyDescent="0.25">
      <c r="A22" s="67" t="s">
        <v>66</v>
      </c>
      <c r="B22" s="68" t="s">
        <v>67</v>
      </c>
      <c r="C22" s="69" t="s">
        <v>24</v>
      </c>
      <c r="D22" s="69" t="s">
        <v>24</v>
      </c>
    </row>
    <row r="23" spans="1:4" ht="25.5" x14ac:dyDescent="0.25">
      <c r="A23" s="67" t="s">
        <v>68</v>
      </c>
      <c r="B23" s="68" t="s">
        <v>69</v>
      </c>
      <c r="C23" s="69" t="s">
        <v>24</v>
      </c>
      <c r="D23" s="69" t="s">
        <v>24</v>
      </c>
    </row>
    <row r="24" spans="1:4" ht="25.5" x14ac:dyDescent="0.25">
      <c r="A24" s="67" t="s">
        <v>70</v>
      </c>
      <c r="B24" s="68" t="s">
        <v>71</v>
      </c>
      <c r="C24" s="69" t="s">
        <v>24</v>
      </c>
      <c r="D24" s="69" t="s">
        <v>24</v>
      </c>
    </row>
    <row r="25" spans="1:4" x14ac:dyDescent="0.25">
      <c r="A25" s="67" t="s">
        <v>72</v>
      </c>
      <c r="B25" s="68" t="s">
        <v>594</v>
      </c>
      <c r="C25" s="69" t="s">
        <v>24</v>
      </c>
      <c r="D25" s="69" t="s">
        <v>24</v>
      </c>
    </row>
    <row r="26" spans="1:4" ht="25.5" x14ac:dyDescent="0.25">
      <c r="A26" s="67" t="s">
        <v>73</v>
      </c>
      <c r="B26" s="68" t="s">
        <v>74</v>
      </c>
      <c r="C26" s="69" t="s">
        <v>24</v>
      </c>
      <c r="D26" s="69" t="s">
        <v>24</v>
      </c>
    </row>
    <row r="27" spans="1:4" ht="25.5" x14ac:dyDescent="0.25">
      <c r="A27" s="67" t="s">
        <v>75</v>
      </c>
      <c r="B27" s="68" t="s">
        <v>76</v>
      </c>
      <c r="C27" s="69" t="s">
        <v>24</v>
      </c>
      <c r="D27" s="69" t="s">
        <v>24</v>
      </c>
    </row>
    <row r="28" spans="1:4" x14ac:dyDescent="0.25">
      <c r="A28" s="67" t="s">
        <v>77</v>
      </c>
      <c r="B28" s="68" t="s">
        <v>78</v>
      </c>
      <c r="C28" s="69" t="s">
        <v>24</v>
      </c>
      <c r="D28" s="69" t="s">
        <v>24</v>
      </c>
    </row>
    <row r="29" spans="1:4" ht="38.25" x14ac:dyDescent="0.25">
      <c r="A29" s="67" t="s">
        <v>79</v>
      </c>
      <c r="B29" s="68" t="s">
        <v>80</v>
      </c>
      <c r="C29" s="69" t="s">
        <v>81</v>
      </c>
      <c r="D29" s="69" t="s">
        <v>53</v>
      </c>
    </row>
    <row r="30" spans="1:4" ht="25.5" x14ac:dyDescent="0.25">
      <c r="A30" s="67" t="s">
        <v>82</v>
      </c>
      <c r="B30" s="68" t="s">
        <v>83</v>
      </c>
      <c r="C30" s="69" t="s">
        <v>53</v>
      </c>
      <c r="D30" s="69" t="s">
        <v>81</v>
      </c>
    </row>
    <row r="31" spans="1:4" ht="25.5" x14ac:dyDescent="0.25">
      <c r="A31" s="67" t="s">
        <v>84</v>
      </c>
      <c r="B31" s="97" t="s">
        <v>85</v>
      </c>
      <c r="C31" s="69" t="s">
        <v>24</v>
      </c>
      <c r="D31" s="69" t="s">
        <v>24</v>
      </c>
    </row>
    <row r="32" spans="1:4" x14ac:dyDescent="0.25">
      <c r="A32" s="67" t="s">
        <v>86</v>
      </c>
      <c r="B32" s="68" t="s">
        <v>87</v>
      </c>
      <c r="C32" s="69" t="s">
        <v>24</v>
      </c>
      <c r="D32" s="69" t="s">
        <v>24</v>
      </c>
    </row>
    <row r="33" spans="1:4" ht="38.25" x14ac:dyDescent="0.25">
      <c r="A33" s="67" t="s">
        <v>88</v>
      </c>
      <c r="B33" s="68" t="s">
        <v>89</v>
      </c>
      <c r="C33" s="69" t="s">
        <v>24</v>
      </c>
      <c r="D33" s="69" t="s">
        <v>24</v>
      </c>
    </row>
    <row r="34" spans="1:4" ht="38.25" x14ac:dyDescent="0.25">
      <c r="A34" s="67" t="s">
        <v>90</v>
      </c>
      <c r="B34" s="68" t="s">
        <v>91</v>
      </c>
      <c r="C34" s="69" t="s">
        <v>24</v>
      </c>
      <c r="D34" s="69" t="s">
        <v>24</v>
      </c>
    </row>
    <row r="35" spans="1:4" ht="25.5" x14ac:dyDescent="0.25">
      <c r="A35" s="67" t="s">
        <v>92</v>
      </c>
      <c r="B35" s="68" t="s">
        <v>93</v>
      </c>
      <c r="C35" s="69" t="s">
        <v>24</v>
      </c>
      <c r="D35" s="69" t="s">
        <v>24</v>
      </c>
    </row>
    <row r="36" spans="1:4" ht="25.5" x14ac:dyDescent="0.25">
      <c r="A36" s="67" t="s">
        <v>94</v>
      </c>
      <c r="B36" s="68" t="s">
        <v>95</v>
      </c>
      <c r="C36" s="69" t="s">
        <v>24</v>
      </c>
      <c r="D36" s="69" t="s">
        <v>24</v>
      </c>
    </row>
    <row r="37" spans="1:4" ht="38.25" x14ac:dyDescent="0.25">
      <c r="A37" s="67" t="s">
        <v>96</v>
      </c>
      <c r="B37" s="97" t="s">
        <v>97</v>
      </c>
      <c r="C37" s="69" t="s">
        <v>53</v>
      </c>
      <c r="D37" s="69" t="s">
        <v>24</v>
      </c>
    </row>
    <row r="38" spans="1:4" x14ac:dyDescent="0.25">
      <c r="A38" s="67" t="s">
        <v>98</v>
      </c>
      <c r="B38" s="68" t="s">
        <v>99</v>
      </c>
      <c r="C38" s="69" t="s">
        <v>53</v>
      </c>
      <c r="D38" s="69" t="s">
        <v>53</v>
      </c>
    </row>
    <row r="39" spans="1:4" x14ac:dyDescent="0.25">
      <c r="A39" s="67" t="s">
        <v>100</v>
      </c>
      <c r="B39" s="68" t="s">
        <v>101</v>
      </c>
      <c r="C39" s="69" t="s">
        <v>53</v>
      </c>
      <c r="D39" s="69" t="s">
        <v>53</v>
      </c>
    </row>
    <row r="40" spans="1:4" ht="25.5" x14ac:dyDescent="0.25">
      <c r="A40" s="67" t="s">
        <v>102</v>
      </c>
      <c r="B40" s="97" t="s">
        <v>103</v>
      </c>
      <c r="C40" s="69" t="s">
        <v>81</v>
      </c>
      <c r="D40" s="69" t="s">
        <v>53</v>
      </c>
    </row>
    <row r="41" spans="1:4" ht="25.5" x14ac:dyDescent="0.25">
      <c r="A41" s="204" t="s">
        <v>104</v>
      </c>
      <c r="B41" s="205" t="s">
        <v>105</v>
      </c>
      <c r="C41" s="206" t="s">
        <v>53</v>
      </c>
      <c r="D41" s="206" t="s">
        <v>53</v>
      </c>
    </row>
    <row r="42" spans="1:4" ht="25.5" x14ac:dyDescent="0.25">
      <c r="A42" s="204" t="s">
        <v>106</v>
      </c>
      <c r="B42" s="207" t="s">
        <v>107</v>
      </c>
      <c r="C42" s="206" t="s">
        <v>81</v>
      </c>
      <c r="D42" s="206" t="s">
        <v>53</v>
      </c>
    </row>
    <row r="43" spans="1:4" x14ac:dyDescent="0.25">
      <c r="A43" s="67" t="s">
        <v>108</v>
      </c>
      <c r="B43" s="97" t="s">
        <v>109</v>
      </c>
      <c r="C43" s="69" t="s">
        <v>53</v>
      </c>
      <c r="D43" s="69" t="s">
        <v>53</v>
      </c>
    </row>
    <row r="44" spans="1:4" ht="25.5" x14ac:dyDescent="0.25">
      <c r="A44" s="67" t="s">
        <v>110</v>
      </c>
      <c r="B44" s="68" t="s">
        <v>111</v>
      </c>
      <c r="C44" s="69" t="s">
        <v>53</v>
      </c>
      <c r="D44" s="69" t="s">
        <v>53</v>
      </c>
    </row>
    <row r="45" spans="1:4" ht="25.5" x14ac:dyDescent="0.25">
      <c r="A45" s="67" t="s">
        <v>112</v>
      </c>
      <c r="B45" s="97" t="s">
        <v>113</v>
      </c>
      <c r="C45" s="69" t="s">
        <v>81</v>
      </c>
      <c r="D45" s="69" t="s">
        <v>53</v>
      </c>
    </row>
    <row r="46" spans="1:4" ht="25.5" x14ac:dyDescent="0.25">
      <c r="A46" s="67" t="s">
        <v>114</v>
      </c>
      <c r="B46" s="68" t="s">
        <v>115</v>
      </c>
      <c r="C46" s="69" t="s">
        <v>81</v>
      </c>
      <c r="D46" s="69" t="s">
        <v>53</v>
      </c>
    </row>
    <row r="47" spans="1:4" x14ac:dyDescent="0.25">
      <c r="A47" s="191" t="s">
        <v>116</v>
      </c>
      <c r="B47" s="192" t="s">
        <v>117</v>
      </c>
      <c r="C47" s="193" t="s">
        <v>81</v>
      </c>
      <c r="D47" s="193" t="s">
        <v>53</v>
      </c>
    </row>
    <row r="48" spans="1:4" x14ac:dyDescent="0.25">
      <c r="A48" s="191" t="s">
        <v>118</v>
      </c>
      <c r="B48" s="192" t="s">
        <v>119</v>
      </c>
      <c r="C48" s="193" t="s">
        <v>81</v>
      </c>
      <c r="D48" s="193" t="s">
        <v>53</v>
      </c>
    </row>
    <row r="49" spans="1:4" x14ac:dyDescent="0.25">
      <c r="A49" s="67" t="s">
        <v>120</v>
      </c>
      <c r="B49" s="97" t="s">
        <v>121</v>
      </c>
      <c r="C49" s="69" t="s">
        <v>53</v>
      </c>
      <c r="D49" s="69" t="s">
        <v>53</v>
      </c>
    </row>
    <row r="50" spans="1:4" x14ac:dyDescent="0.25">
      <c r="A50" s="67" t="s">
        <v>122</v>
      </c>
      <c r="B50" s="97" t="s">
        <v>123</v>
      </c>
      <c r="C50" s="69" t="s">
        <v>81</v>
      </c>
      <c r="D50" s="69" t="s">
        <v>53</v>
      </c>
    </row>
    <row r="51" spans="1:4" x14ac:dyDescent="0.25">
      <c r="A51" s="67" t="s">
        <v>124</v>
      </c>
      <c r="B51" s="68" t="s">
        <v>125</v>
      </c>
      <c r="C51" s="69" t="s">
        <v>81</v>
      </c>
      <c r="D51" s="69" t="s">
        <v>53</v>
      </c>
    </row>
    <row r="52" spans="1:4" x14ac:dyDescent="0.25">
      <c r="A52" s="191" t="s">
        <v>126</v>
      </c>
      <c r="B52" s="192" t="s">
        <v>127</v>
      </c>
      <c r="C52" s="193" t="s">
        <v>81</v>
      </c>
      <c r="D52" s="193" t="s">
        <v>53</v>
      </c>
    </row>
    <row r="53" spans="1:4" x14ac:dyDescent="0.25">
      <c r="A53" s="67" t="s">
        <v>128</v>
      </c>
      <c r="B53" s="68" t="s">
        <v>129</v>
      </c>
      <c r="C53" s="69" t="s">
        <v>81</v>
      </c>
      <c r="D53" s="69" t="s">
        <v>53</v>
      </c>
    </row>
    <row r="54" spans="1:4" x14ac:dyDescent="0.25">
      <c r="A54" s="67" t="s">
        <v>130</v>
      </c>
      <c r="B54" s="68" t="s">
        <v>131</v>
      </c>
      <c r="C54" s="69" t="s">
        <v>53</v>
      </c>
      <c r="D54" s="69" t="s">
        <v>53</v>
      </c>
    </row>
    <row r="55" spans="1:4" ht="25.5" x14ac:dyDescent="0.25">
      <c r="A55" s="67" t="s">
        <v>132</v>
      </c>
      <c r="B55" s="97" t="s">
        <v>133</v>
      </c>
      <c r="C55" s="69" t="s">
        <v>81</v>
      </c>
      <c r="D55" s="69" t="s">
        <v>53</v>
      </c>
    </row>
    <row r="56" spans="1:4" ht="25.5" x14ac:dyDescent="0.25">
      <c r="A56" s="67" t="s">
        <v>134</v>
      </c>
      <c r="B56" s="68" t="s">
        <v>135</v>
      </c>
      <c r="C56" s="69" t="s">
        <v>24</v>
      </c>
      <c r="D56" s="69" t="s">
        <v>24</v>
      </c>
    </row>
    <row r="57" spans="1:4" x14ac:dyDescent="0.25">
      <c r="A57" s="67" t="s">
        <v>136</v>
      </c>
      <c r="B57" s="68" t="s">
        <v>137</v>
      </c>
      <c r="C57" s="69" t="s">
        <v>24</v>
      </c>
      <c r="D57" s="69" t="s">
        <v>24</v>
      </c>
    </row>
    <row r="58" spans="1:4" ht="38.25" x14ac:dyDescent="0.25">
      <c r="A58" s="67" t="s">
        <v>138</v>
      </c>
      <c r="B58" s="68" t="s">
        <v>139</v>
      </c>
      <c r="C58" s="69" t="s">
        <v>81</v>
      </c>
      <c r="D58" s="69" t="s">
        <v>81</v>
      </c>
    </row>
    <row r="59" spans="1:4" ht="38.25" x14ac:dyDescent="0.25">
      <c r="A59" s="67" t="s">
        <v>140</v>
      </c>
      <c r="B59" s="68" t="s">
        <v>141</v>
      </c>
      <c r="C59" s="69" t="s">
        <v>81</v>
      </c>
      <c r="D59" s="69" t="s">
        <v>81</v>
      </c>
    </row>
    <row r="60" spans="1:4" ht="38.25" x14ac:dyDescent="0.25">
      <c r="A60" s="67" t="s">
        <v>142</v>
      </c>
      <c r="B60" s="68" t="s">
        <v>143</v>
      </c>
      <c r="C60" s="69" t="s">
        <v>81</v>
      </c>
      <c r="D60" s="69" t="s">
        <v>81</v>
      </c>
    </row>
    <row r="61" spans="1:4" ht="38.25" x14ac:dyDescent="0.25">
      <c r="A61" s="67" t="s">
        <v>144</v>
      </c>
      <c r="B61" s="68" t="s">
        <v>145</v>
      </c>
      <c r="C61" s="69" t="s">
        <v>24</v>
      </c>
      <c r="D61" s="69" t="s">
        <v>81</v>
      </c>
    </row>
    <row r="62" spans="1:4" ht="25.5" x14ac:dyDescent="0.25">
      <c r="A62" s="67" t="s">
        <v>146</v>
      </c>
      <c r="B62" s="68" t="s">
        <v>147</v>
      </c>
      <c r="C62" s="69" t="s">
        <v>24</v>
      </c>
      <c r="D62" s="69" t="s">
        <v>81</v>
      </c>
    </row>
    <row r="63" spans="1:4" ht="25.5" x14ac:dyDescent="0.25">
      <c r="A63" s="67" t="s">
        <v>148</v>
      </c>
      <c r="B63" s="97" t="s">
        <v>149</v>
      </c>
      <c r="C63" s="69" t="s">
        <v>53</v>
      </c>
      <c r="D63" s="69" t="s">
        <v>81</v>
      </c>
    </row>
    <row r="64" spans="1:4" ht="25.5" x14ac:dyDescent="0.25">
      <c r="A64" s="67" t="s">
        <v>150</v>
      </c>
      <c r="B64" s="68" t="s">
        <v>151</v>
      </c>
      <c r="C64" s="69" t="s">
        <v>53</v>
      </c>
      <c r="D64" s="69" t="s">
        <v>81</v>
      </c>
    </row>
    <row r="65" spans="1:4" x14ac:dyDescent="0.25">
      <c r="A65" s="67" t="s">
        <v>152</v>
      </c>
      <c r="B65" s="68" t="s">
        <v>153</v>
      </c>
      <c r="C65" s="69" t="s">
        <v>24</v>
      </c>
      <c r="D65" s="69" t="s">
        <v>81</v>
      </c>
    </row>
    <row r="66" spans="1:4" x14ac:dyDescent="0.25">
      <c r="A66" s="67" t="s">
        <v>154</v>
      </c>
      <c r="B66" s="97" t="s">
        <v>155</v>
      </c>
      <c r="C66" s="69" t="s">
        <v>53</v>
      </c>
      <c r="D66" s="69" t="s">
        <v>81</v>
      </c>
    </row>
    <row r="67" spans="1:4" x14ac:dyDescent="0.25">
      <c r="A67" s="67" t="s">
        <v>156</v>
      </c>
      <c r="B67" s="68" t="s">
        <v>157</v>
      </c>
      <c r="C67" s="69" t="s">
        <v>53</v>
      </c>
      <c r="D67" s="69" t="s">
        <v>81</v>
      </c>
    </row>
    <row r="68" spans="1:4" x14ac:dyDescent="0.25">
      <c r="A68" s="67" t="s">
        <v>158</v>
      </c>
      <c r="B68" s="68" t="s">
        <v>159</v>
      </c>
      <c r="C68" s="69" t="s">
        <v>24</v>
      </c>
      <c r="D68" s="69" t="s">
        <v>81</v>
      </c>
    </row>
    <row r="69" spans="1:4" x14ac:dyDescent="0.25">
      <c r="A69" s="67" t="s">
        <v>160</v>
      </c>
      <c r="B69" s="68" t="s">
        <v>161</v>
      </c>
      <c r="C69" s="69" t="s">
        <v>53</v>
      </c>
      <c r="D69" s="69" t="s">
        <v>81</v>
      </c>
    </row>
    <row r="70" spans="1:4" x14ac:dyDescent="0.25">
      <c r="A70" s="67" t="s">
        <v>162</v>
      </c>
      <c r="B70" s="68" t="s">
        <v>163</v>
      </c>
      <c r="C70" s="69" t="s">
        <v>24</v>
      </c>
      <c r="D70" s="69" t="s">
        <v>81</v>
      </c>
    </row>
    <row r="71" spans="1:4" x14ac:dyDescent="0.25">
      <c r="A71" s="67" t="s">
        <v>164</v>
      </c>
      <c r="B71" s="68" t="s">
        <v>165</v>
      </c>
      <c r="C71" s="69" t="s">
        <v>24</v>
      </c>
      <c r="D71" s="69" t="s">
        <v>81</v>
      </c>
    </row>
    <row r="72" spans="1:4" x14ac:dyDescent="0.25">
      <c r="A72" s="67" t="s">
        <v>166</v>
      </c>
      <c r="B72" s="97" t="s">
        <v>167</v>
      </c>
      <c r="C72" s="69" t="s">
        <v>81</v>
      </c>
      <c r="D72" s="69" t="s">
        <v>81</v>
      </c>
    </row>
    <row r="73" spans="1:4" x14ac:dyDescent="0.25">
      <c r="A73" s="191" t="s">
        <v>168</v>
      </c>
      <c r="B73" s="192" t="s">
        <v>169</v>
      </c>
      <c r="C73" s="193" t="s">
        <v>24</v>
      </c>
      <c r="D73" s="193" t="s">
        <v>81</v>
      </c>
    </row>
    <row r="74" spans="1:4" x14ac:dyDescent="0.25">
      <c r="A74" s="67" t="s">
        <v>170</v>
      </c>
      <c r="B74" s="97" t="s">
        <v>171</v>
      </c>
      <c r="C74" s="69" t="s">
        <v>53</v>
      </c>
      <c r="D74" s="69" t="s">
        <v>81</v>
      </c>
    </row>
    <row r="75" spans="1:4" x14ac:dyDescent="0.25">
      <c r="A75" s="67" t="s">
        <v>172</v>
      </c>
      <c r="B75" s="68" t="s">
        <v>173</v>
      </c>
      <c r="C75" s="69" t="s">
        <v>53</v>
      </c>
      <c r="D75" s="69" t="s">
        <v>53</v>
      </c>
    </row>
    <row r="76" spans="1:4" x14ac:dyDescent="0.25">
      <c r="A76" s="191" t="s">
        <v>174</v>
      </c>
      <c r="B76" s="192" t="s">
        <v>175</v>
      </c>
      <c r="C76" s="193" t="s">
        <v>53</v>
      </c>
      <c r="D76" s="193" t="s">
        <v>53</v>
      </c>
    </row>
    <row r="77" spans="1:4" x14ac:dyDescent="0.25">
      <c r="A77" s="67" t="s">
        <v>176</v>
      </c>
      <c r="B77" s="68" t="s">
        <v>177</v>
      </c>
      <c r="C77" s="69" t="s">
        <v>53</v>
      </c>
      <c r="D77" s="69" t="s">
        <v>81</v>
      </c>
    </row>
    <row r="78" spans="1:4" x14ac:dyDescent="0.25">
      <c r="A78" s="67" t="s">
        <v>178</v>
      </c>
      <c r="B78" s="68" t="s">
        <v>179</v>
      </c>
      <c r="C78" s="69" t="s">
        <v>53</v>
      </c>
      <c r="D78" s="69" t="s">
        <v>81</v>
      </c>
    </row>
    <row r="79" spans="1:4" ht="25.5" x14ac:dyDescent="0.25">
      <c r="A79" s="67" t="s">
        <v>180</v>
      </c>
      <c r="B79" s="68" t="s">
        <v>181</v>
      </c>
      <c r="C79" s="69" t="s">
        <v>53</v>
      </c>
      <c r="D79" s="69" t="s">
        <v>81</v>
      </c>
    </row>
    <row r="80" spans="1:4" ht="38.25" x14ac:dyDescent="0.25">
      <c r="A80" s="67" t="s">
        <v>182</v>
      </c>
      <c r="B80" s="68" t="s">
        <v>183</v>
      </c>
      <c r="C80" s="69" t="s">
        <v>81</v>
      </c>
      <c r="D80" s="69" t="s">
        <v>81</v>
      </c>
    </row>
    <row r="81" spans="1:4" x14ac:dyDescent="0.25">
      <c r="A81" s="67" t="s">
        <v>184</v>
      </c>
      <c r="B81" s="97" t="s">
        <v>185</v>
      </c>
      <c r="C81" s="69" t="s">
        <v>81</v>
      </c>
      <c r="D81" s="69" t="s">
        <v>53</v>
      </c>
    </row>
    <row r="82" spans="1:4" x14ac:dyDescent="0.25">
      <c r="A82" s="191" t="s">
        <v>186</v>
      </c>
      <c r="B82" s="194" t="s">
        <v>187</v>
      </c>
      <c r="C82" s="193" t="s">
        <v>81</v>
      </c>
      <c r="D82" s="193" t="s">
        <v>53</v>
      </c>
    </row>
    <row r="83" spans="1:4" x14ac:dyDescent="0.25">
      <c r="A83" s="67" t="s">
        <v>188</v>
      </c>
      <c r="B83" s="68" t="s">
        <v>189</v>
      </c>
      <c r="C83" s="69" t="s">
        <v>81</v>
      </c>
      <c r="D83" s="69" t="s">
        <v>81</v>
      </c>
    </row>
    <row r="84" spans="1:4" x14ac:dyDescent="0.25">
      <c r="A84" s="67" t="s">
        <v>190</v>
      </c>
      <c r="B84" s="68" t="s">
        <v>191</v>
      </c>
      <c r="C84" s="69" t="s">
        <v>24</v>
      </c>
      <c r="D84" s="69" t="s">
        <v>24</v>
      </c>
    </row>
    <row r="85" spans="1:4" ht="25.5" x14ac:dyDescent="0.25">
      <c r="A85" s="67" t="s">
        <v>192</v>
      </c>
      <c r="B85" s="68" t="s">
        <v>193</v>
      </c>
      <c r="C85" s="69" t="s">
        <v>53</v>
      </c>
      <c r="D85" s="69" t="s">
        <v>24</v>
      </c>
    </row>
    <row r="86" spans="1:4" x14ac:dyDescent="0.25">
      <c r="A86" s="191" t="s">
        <v>194</v>
      </c>
      <c r="B86" s="194" t="s">
        <v>195</v>
      </c>
      <c r="C86" s="193" t="s">
        <v>81</v>
      </c>
      <c r="D86" s="193" t="s">
        <v>53</v>
      </c>
    </row>
    <row r="87" spans="1:4" x14ac:dyDescent="0.25">
      <c r="A87" s="97" t="s">
        <v>196</v>
      </c>
      <c r="B87" s="68" t="s">
        <v>197</v>
      </c>
      <c r="C87" s="69" t="s">
        <v>24</v>
      </c>
      <c r="D87" s="69" t="s">
        <v>24</v>
      </c>
    </row>
    <row r="88" spans="1:4" x14ac:dyDescent="0.25">
      <c r="A88" s="67" t="s">
        <v>198</v>
      </c>
      <c r="B88" s="68" t="s">
        <v>199</v>
      </c>
      <c r="C88" s="69" t="s">
        <v>24</v>
      </c>
      <c r="D88" s="69" t="s">
        <v>24</v>
      </c>
    </row>
    <row r="89" spans="1:4" x14ac:dyDescent="0.25">
      <c r="A89" s="67" t="s">
        <v>200</v>
      </c>
      <c r="B89" s="68" t="s">
        <v>201</v>
      </c>
      <c r="C89" s="69" t="s">
        <v>24</v>
      </c>
      <c r="D89" s="69" t="s">
        <v>24</v>
      </c>
    </row>
    <row r="90" spans="1:4" x14ac:dyDescent="0.25">
      <c r="A90" s="67" t="s">
        <v>202</v>
      </c>
      <c r="B90" s="68" t="s">
        <v>203</v>
      </c>
      <c r="C90" s="69" t="s">
        <v>24</v>
      </c>
      <c r="D90" s="69" t="s">
        <v>24</v>
      </c>
    </row>
    <row r="91" spans="1:4" x14ac:dyDescent="0.25">
      <c r="A91" s="97" t="s">
        <v>204</v>
      </c>
      <c r="B91" s="68" t="s">
        <v>205</v>
      </c>
      <c r="C91" s="69" t="s">
        <v>24</v>
      </c>
      <c r="D91" s="69" t="s">
        <v>24</v>
      </c>
    </row>
    <row r="92" spans="1:4" x14ac:dyDescent="0.25">
      <c r="A92" s="67" t="s">
        <v>206</v>
      </c>
      <c r="B92" s="68" t="s">
        <v>207</v>
      </c>
      <c r="C92" s="69" t="s">
        <v>24</v>
      </c>
      <c r="D92" s="69" t="s">
        <v>24</v>
      </c>
    </row>
    <row r="93" spans="1:4" x14ac:dyDescent="0.25">
      <c r="A93" s="67" t="s">
        <v>208</v>
      </c>
      <c r="B93" s="68" t="s">
        <v>209</v>
      </c>
      <c r="C93" s="69" t="s">
        <v>24</v>
      </c>
      <c r="D93" s="69" t="s">
        <v>24</v>
      </c>
    </row>
    <row r="94" spans="1:4" x14ac:dyDescent="0.25">
      <c r="A94" s="67" t="s">
        <v>210</v>
      </c>
      <c r="B94" s="68" t="s">
        <v>211</v>
      </c>
      <c r="C94" s="69" t="s">
        <v>24</v>
      </c>
      <c r="D94" s="69" t="s">
        <v>24</v>
      </c>
    </row>
    <row r="95" spans="1:4" ht="25.5" x14ac:dyDescent="0.25">
      <c r="A95" s="97" t="s">
        <v>212</v>
      </c>
      <c r="B95" s="68" t="s">
        <v>213</v>
      </c>
      <c r="C95" s="69" t="s">
        <v>53</v>
      </c>
      <c r="D95" s="69" t="s">
        <v>24</v>
      </c>
    </row>
    <row r="96" spans="1:4" x14ac:dyDescent="0.25">
      <c r="A96" s="67" t="s">
        <v>214</v>
      </c>
      <c r="B96" s="68" t="s">
        <v>215</v>
      </c>
      <c r="C96" s="69" t="s">
        <v>81</v>
      </c>
      <c r="D96" s="69" t="s">
        <v>53</v>
      </c>
    </row>
    <row r="97" spans="1:4" x14ac:dyDescent="0.25">
      <c r="A97" s="67" t="s">
        <v>216</v>
      </c>
      <c r="B97" s="68" t="s">
        <v>217</v>
      </c>
      <c r="C97" s="69" t="s">
        <v>81</v>
      </c>
      <c r="D97" s="69" t="s">
        <v>53</v>
      </c>
    </row>
    <row r="98" spans="1:4" x14ac:dyDescent="0.25">
      <c r="A98" s="67" t="s">
        <v>218</v>
      </c>
      <c r="B98" s="68" t="s">
        <v>219</v>
      </c>
      <c r="C98" s="69" t="s">
        <v>53</v>
      </c>
      <c r="D98" s="69" t="s">
        <v>53</v>
      </c>
    </row>
    <row r="99" spans="1:4" x14ac:dyDescent="0.25">
      <c r="A99" s="97" t="s">
        <v>220</v>
      </c>
      <c r="B99" s="97" t="s">
        <v>221</v>
      </c>
      <c r="C99" s="69" t="s">
        <v>81</v>
      </c>
      <c r="D99" s="69" t="s">
        <v>53</v>
      </c>
    </row>
    <row r="100" spans="1:4" x14ac:dyDescent="0.25">
      <c r="A100" s="67">
        <v>100</v>
      </c>
      <c r="B100" s="68" t="s">
        <v>222</v>
      </c>
      <c r="C100" s="69" t="s">
        <v>81</v>
      </c>
      <c r="D100" s="69" t="s">
        <v>53</v>
      </c>
    </row>
    <row r="101" spans="1:4" x14ac:dyDescent="0.25">
      <c r="A101" s="67">
        <v>101</v>
      </c>
      <c r="B101" s="68" t="s">
        <v>223</v>
      </c>
      <c r="C101" s="69" t="s">
        <v>81</v>
      </c>
      <c r="D101" s="69" t="s">
        <v>53</v>
      </c>
    </row>
    <row r="102" spans="1:4" x14ac:dyDescent="0.25">
      <c r="A102" s="67">
        <v>102</v>
      </c>
      <c r="B102" s="68" t="s">
        <v>224</v>
      </c>
      <c r="C102" s="69" t="s">
        <v>53</v>
      </c>
      <c r="D102" s="69" t="s">
        <v>53</v>
      </c>
    </row>
    <row r="103" spans="1:4" x14ac:dyDescent="0.25">
      <c r="A103" s="67">
        <v>103</v>
      </c>
      <c r="B103" s="97" t="s">
        <v>225</v>
      </c>
      <c r="C103" s="69" t="s">
        <v>81</v>
      </c>
      <c r="D103" s="69" t="s">
        <v>53</v>
      </c>
    </row>
    <row r="104" spans="1:4" x14ac:dyDescent="0.25">
      <c r="A104" s="67">
        <v>104</v>
      </c>
      <c r="B104" s="68" t="s">
        <v>226</v>
      </c>
      <c r="C104" s="69" t="s">
        <v>53</v>
      </c>
      <c r="D104" s="69" t="s">
        <v>24</v>
      </c>
    </row>
    <row r="105" spans="1:4" x14ac:dyDescent="0.25">
      <c r="A105" s="67">
        <v>105</v>
      </c>
      <c r="B105" s="68" t="s">
        <v>227</v>
      </c>
      <c r="C105" s="69" t="s">
        <v>53</v>
      </c>
      <c r="D105" s="69" t="s">
        <v>53</v>
      </c>
    </row>
    <row r="106" spans="1:4" x14ac:dyDescent="0.25">
      <c r="A106" s="67">
        <v>106</v>
      </c>
      <c r="B106" s="68" t="s">
        <v>228</v>
      </c>
      <c r="C106" s="69" t="s">
        <v>24</v>
      </c>
      <c r="D106" s="69" t="s">
        <v>53</v>
      </c>
    </row>
    <row r="107" spans="1:4" x14ac:dyDescent="0.25">
      <c r="A107" s="67">
        <v>107</v>
      </c>
      <c r="B107" s="97" t="s">
        <v>229</v>
      </c>
      <c r="C107" s="69" t="s">
        <v>81</v>
      </c>
      <c r="D107" s="69" t="s">
        <v>53</v>
      </c>
    </row>
    <row r="108" spans="1:4" x14ac:dyDescent="0.25">
      <c r="A108" s="67">
        <v>108</v>
      </c>
      <c r="B108" s="68" t="s">
        <v>230</v>
      </c>
      <c r="C108" s="69" t="s">
        <v>53</v>
      </c>
      <c r="D108" s="69" t="s">
        <v>53</v>
      </c>
    </row>
    <row r="109" spans="1:4" x14ac:dyDescent="0.25">
      <c r="A109" s="67">
        <v>109</v>
      </c>
      <c r="B109" s="68" t="s">
        <v>231</v>
      </c>
      <c r="C109" s="69" t="s">
        <v>53</v>
      </c>
      <c r="D109" s="69" t="s">
        <v>53</v>
      </c>
    </row>
    <row r="110" spans="1:4" x14ac:dyDescent="0.25">
      <c r="A110" s="67">
        <v>110</v>
      </c>
      <c r="B110" s="68" t="s">
        <v>232</v>
      </c>
      <c r="C110" s="69" t="s">
        <v>24</v>
      </c>
      <c r="D110" s="69" t="s">
        <v>24</v>
      </c>
    </row>
    <row r="111" spans="1:4" x14ac:dyDescent="0.25">
      <c r="A111" s="67">
        <v>111</v>
      </c>
      <c r="B111" s="68" t="s">
        <v>233</v>
      </c>
      <c r="C111" s="69" t="s">
        <v>53</v>
      </c>
      <c r="D111" s="69" t="s">
        <v>24</v>
      </c>
    </row>
    <row r="112" spans="1:4" x14ac:dyDescent="0.25">
      <c r="A112" s="67">
        <v>112</v>
      </c>
      <c r="B112" s="68" t="s">
        <v>234</v>
      </c>
      <c r="C112" s="69" t="s">
        <v>24</v>
      </c>
      <c r="D112" s="69" t="s">
        <v>24</v>
      </c>
    </row>
    <row r="113" spans="1:4" x14ac:dyDescent="0.25">
      <c r="A113" s="67">
        <v>113</v>
      </c>
      <c r="B113" s="68" t="s">
        <v>235</v>
      </c>
      <c r="C113" s="69" t="s">
        <v>53</v>
      </c>
      <c r="D113" s="69" t="s">
        <v>24</v>
      </c>
    </row>
    <row r="114" spans="1:4" x14ac:dyDescent="0.25">
      <c r="A114" s="67">
        <v>114</v>
      </c>
      <c r="B114" s="68" t="s">
        <v>236</v>
      </c>
      <c r="C114" s="69" t="s">
        <v>24</v>
      </c>
      <c r="D114" s="69" t="s">
        <v>24</v>
      </c>
    </row>
    <row r="115" spans="1:4" ht="25.5" x14ac:dyDescent="0.25">
      <c r="A115" s="67">
        <v>115</v>
      </c>
      <c r="B115" s="68" t="s">
        <v>237</v>
      </c>
      <c r="C115" s="69" t="s">
        <v>53</v>
      </c>
      <c r="D115" s="69" t="s">
        <v>24</v>
      </c>
    </row>
    <row r="116" spans="1:4" x14ac:dyDescent="0.25">
      <c r="A116" s="67">
        <v>116</v>
      </c>
      <c r="B116" s="68" t="s">
        <v>238</v>
      </c>
      <c r="C116" s="69" t="s">
        <v>24</v>
      </c>
      <c r="D116" s="69" t="s">
        <v>24</v>
      </c>
    </row>
    <row r="117" spans="1:4" ht="25.5" x14ac:dyDescent="0.25">
      <c r="A117" s="67">
        <v>117</v>
      </c>
      <c r="B117" s="68" t="s">
        <v>239</v>
      </c>
      <c r="C117" s="69" t="s">
        <v>53</v>
      </c>
      <c r="D117" s="69" t="s">
        <v>24</v>
      </c>
    </row>
    <row r="118" spans="1:4" x14ac:dyDescent="0.25">
      <c r="A118" s="67">
        <v>118</v>
      </c>
      <c r="B118" s="68" t="s">
        <v>240</v>
      </c>
      <c r="C118" s="69" t="s">
        <v>24</v>
      </c>
      <c r="D118" s="69" t="s">
        <v>24</v>
      </c>
    </row>
    <row r="119" spans="1:4" x14ac:dyDescent="0.25">
      <c r="A119" s="67">
        <v>119</v>
      </c>
      <c r="B119" s="68" t="s">
        <v>241</v>
      </c>
      <c r="C119" s="69" t="s">
        <v>24</v>
      </c>
      <c r="D119" s="69" t="s">
        <v>24</v>
      </c>
    </row>
    <row r="120" spans="1:4" ht="25.5" x14ac:dyDescent="0.25">
      <c r="A120" s="67">
        <v>120</v>
      </c>
      <c r="B120" s="68" t="s">
        <v>242</v>
      </c>
      <c r="C120" s="69" t="s">
        <v>53</v>
      </c>
      <c r="D120" s="69" t="s">
        <v>24</v>
      </c>
    </row>
    <row r="121" spans="1:4" x14ac:dyDescent="0.25">
      <c r="A121" s="67">
        <v>121</v>
      </c>
      <c r="B121" s="68" t="s">
        <v>243</v>
      </c>
      <c r="C121" s="69" t="s">
        <v>24</v>
      </c>
      <c r="D121" s="69" t="s">
        <v>24</v>
      </c>
    </row>
    <row r="122" spans="1:4" x14ac:dyDescent="0.25">
      <c r="A122" s="67">
        <v>122</v>
      </c>
      <c r="B122" s="68" t="s">
        <v>244</v>
      </c>
      <c r="C122" s="69" t="s">
        <v>24</v>
      </c>
      <c r="D122" s="69" t="s">
        <v>24</v>
      </c>
    </row>
    <row r="123" spans="1:4" x14ac:dyDescent="0.25">
      <c r="A123" s="67">
        <v>123</v>
      </c>
      <c r="B123" s="68" t="s">
        <v>245</v>
      </c>
      <c r="C123" s="69" t="s">
        <v>24</v>
      </c>
      <c r="D123" s="69" t="s">
        <v>24</v>
      </c>
    </row>
    <row r="124" spans="1:4" x14ac:dyDescent="0.25">
      <c r="A124" s="67">
        <v>124</v>
      </c>
      <c r="B124" s="68" t="s">
        <v>246</v>
      </c>
      <c r="C124" s="69" t="s">
        <v>24</v>
      </c>
      <c r="D124" s="69" t="s">
        <v>24</v>
      </c>
    </row>
    <row r="125" spans="1:4" ht="25.5" x14ac:dyDescent="0.25">
      <c r="A125" s="67">
        <v>125</v>
      </c>
      <c r="B125" s="68" t="s">
        <v>247</v>
      </c>
      <c r="C125" s="69" t="s">
        <v>24</v>
      </c>
      <c r="D125" s="69" t="s">
        <v>24</v>
      </c>
    </row>
    <row r="126" spans="1:4" ht="25.5" x14ac:dyDescent="0.25">
      <c r="A126" s="67">
        <v>126</v>
      </c>
      <c r="B126" s="68" t="s">
        <v>248</v>
      </c>
      <c r="C126" s="69" t="s">
        <v>24</v>
      </c>
      <c r="D126" s="69" t="s">
        <v>24</v>
      </c>
    </row>
    <row r="127" spans="1:4" x14ac:dyDescent="0.25">
      <c r="A127" s="67">
        <v>127</v>
      </c>
      <c r="B127" s="68" t="s">
        <v>249</v>
      </c>
      <c r="C127" s="69" t="s">
        <v>24</v>
      </c>
      <c r="D127" s="69" t="s">
        <v>24</v>
      </c>
    </row>
    <row r="128" spans="1:4" x14ac:dyDescent="0.25">
      <c r="A128" s="67">
        <v>128</v>
      </c>
      <c r="B128" s="68" t="s">
        <v>250</v>
      </c>
      <c r="C128" s="69" t="s">
        <v>24</v>
      </c>
      <c r="D128" s="69" t="s">
        <v>24</v>
      </c>
    </row>
    <row r="129" spans="1:4" x14ac:dyDescent="0.25">
      <c r="A129" s="67">
        <v>129</v>
      </c>
      <c r="B129" s="68" t="s">
        <v>251</v>
      </c>
      <c r="C129" s="69" t="s">
        <v>24</v>
      </c>
      <c r="D129" s="69" t="s">
        <v>24</v>
      </c>
    </row>
    <row r="130" spans="1:4" x14ac:dyDescent="0.25">
      <c r="A130" s="67">
        <v>130</v>
      </c>
      <c r="B130" s="68" t="s">
        <v>252</v>
      </c>
      <c r="C130" s="69" t="s">
        <v>24</v>
      </c>
      <c r="D130" s="69" t="s">
        <v>24</v>
      </c>
    </row>
    <row r="131" spans="1:4" x14ac:dyDescent="0.25">
      <c r="A131" s="67">
        <v>131</v>
      </c>
      <c r="B131" s="68" t="s">
        <v>253</v>
      </c>
      <c r="C131" s="69" t="s">
        <v>24</v>
      </c>
      <c r="D131" s="69" t="s">
        <v>24</v>
      </c>
    </row>
    <row r="132" spans="1:4" x14ac:dyDescent="0.25">
      <c r="A132" s="67">
        <v>132</v>
      </c>
      <c r="B132" s="68" t="s">
        <v>254</v>
      </c>
      <c r="C132" s="69" t="s">
        <v>24</v>
      </c>
      <c r="D132" s="69" t="s">
        <v>24</v>
      </c>
    </row>
    <row r="133" spans="1:4" ht="25.5" x14ac:dyDescent="0.25">
      <c r="A133" s="67">
        <v>133</v>
      </c>
      <c r="B133" s="68" t="s">
        <v>255</v>
      </c>
      <c r="C133" s="69" t="s">
        <v>24</v>
      </c>
      <c r="D133" s="69" t="s">
        <v>24</v>
      </c>
    </row>
    <row r="134" spans="1:4" x14ac:dyDescent="0.25">
      <c r="A134" s="67">
        <v>134</v>
      </c>
      <c r="B134" s="68" t="s">
        <v>256</v>
      </c>
      <c r="C134" s="69" t="s">
        <v>24</v>
      </c>
      <c r="D134" s="69" t="s">
        <v>24</v>
      </c>
    </row>
    <row r="135" spans="1:4" x14ac:dyDescent="0.25">
      <c r="A135" s="67">
        <v>135</v>
      </c>
      <c r="B135" s="68" t="s">
        <v>257</v>
      </c>
      <c r="C135" s="69" t="s">
        <v>24</v>
      </c>
      <c r="D135" s="69" t="s">
        <v>24</v>
      </c>
    </row>
    <row r="136" spans="1:4" ht="25.5" x14ac:dyDescent="0.25">
      <c r="A136" s="67">
        <v>136</v>
      </c>
      <c r="B136" s="68" t="s">
        <v>258</v>
      </c>
      <c r="C136" s="69" t="s">
        <v>24</v>
      </c>
      <c r="D136" s="69" t="s">
        <v>24</v>
      </c>
    </row>
    <row r="137" spans="1:4" x14ac:dyDescent="0.25">
      <c r="A137" s="67">
        <v>137</v>
      </c>
      <c r="B137" s="68" t="s">
        <v>259</v>
      </c>
      <c r="C137" s="69" t="s">
        <v>24</v>
      </c>
      <c r="D137" s="69" t="s">
        <v>24</v>
      </c>
    </row>
    <row r="138" spans="1:4" x14ac:dyDescent="0.25">
      <c r="A138" s="67">
        <v>138</v>
      </c>
      <c r="B138" s="68" t="s">
        <v>260</v>
      </c>
      <c r="C138" s="69" t="s">
        <v>24</v>
      </c>
      <c r="D138" s="69" t="s">
        <v>24</v>
      </c>
    </row>
    <row r="139" spans="1:4" ht="25.5" x14ac:dyDescent="0.25">
      <c r="A139" s="191">
        <v>139</v>
      </c>
      <c r="B139" s="192" t="s">
        <v>261</v>
      </c>
      <c r="C139" s="193" t="s">
        <v>24</v>
      </c>
      <c r="D139" s="193" t="s">
        <v>24</v>
      </c>
    </row>
    <row r="140" spans="1:4" x14ac:dyDescent="0.25">
      <c r="A140" s="67">
        <v>140</v>
      </c>
      <c r="B140" s="68" t="s">
        <v>262</v>
      </c>
      <c r="C140" s="69" t="s">
        <v>24</v>
      </c>
      <c r="D140" s="69" t="s">
        <v>24</v>
      </c>
    </row>
    <row r="141" spans="1:4" x14ac:dyDescent="0.25">
      <c r="A141" s="67">
        <v>141</v>
      </c>
      <c r="B141" s="68" t="s">
        <v>263</v>
      </c>
      <c r="C141" s="69" t="s">
        <v>24</v>
      </c>
      <c r="D141" s="69" t="s">
        <v>24</v>
      </c>
    </row>
    <row r="142" spans="1:4" ht="25.5" x14ac:dyDescent="0.25">
      <c r="A142" s="67">
        <v>142</v>
      </c>
      <c r="B142" s="68" t="s">
        <v>264</v>
      </c>
      <c r="C142" s="69" t="s">
        <v>24</v>
      </c>
      <c r="D142" s="69" t="s">
        <v>24</v>
      </c>
    </row>
    <row r="143" spans="1:4" ht="25.5" x14ac:dyDescent="0.25">
      <c r="A143" s="67">
        <v>143</v>
      </c>
      <c r="B143" s="68" t="s">
        <v>265</v>
      </c>
      <c r="C143" s="69" t="s">
        <v>24</v>
      </c>
      <c r="D143" s="69" t="s">
        <v>24</v>
      </c>
    </row>
    <row r="144" spans="1:4" ht="25.5" x14ac:dyDescent="0.25">
      <c r="A144" s="67">
        <v>144</v>
      </c>
      <c r="B144" s="68" t="s">
        <v>266</v>
      </c>
      <c r="C144" s="69" t="s">
        <v>24</v>
      </c>
      <c r="D144" s="69" t="s">
        <v>24</v>
      </c>
    </row>
    <row r="145" spans="1:4" x14ac:dyDescent="0.25">
      <c r="A145" s="67">
        <v>145</v>
      </c>
      <c r="B145" s="68" t="s">
        <v>267</v>
      </c>
      <c r="C145" s="69" t="s">
        <v>24</v>
      </c>
      <c r="D145" s="69" t="s">
        <v>24</v>
      </c>
    </row>
    <row r="146" spans="1:4" x14ac:dyDescent="0.25">
      <c r="A146" s="191">
        <v>146</v>
      </c>
      <c r="B146" s="192" t="s">
        <v>268</v>
      </c>
      <c r="C146" s="193" t="s">
        <v>24</v>
      </c>
      <c r="D146" s="193" t="s">
        <v>24</v>
      </c>
    </row>
    <row r="147" spans="1:4" x14ac:dyDescent="0.25">
      <c r="A147" s="67">
        <v>147</v>
      </c>
      <c r="B147" s="68" t="s">
        <v>269</v>
      </c>
      <c r="C147" s="69" t="s">
        <v>24</v>
      </c>
      <c r="D147" s="69" t="s">
        <v>24</v>
      </c>
    </row>
    <row r="148" spans="1:4" x14ac:dyDescent="0.25">
      <c r="A148" s="67">
        <v>148</v>
      </c>
      <c r="B148" s="68" t="s">
        <v>270</v>
      </c>
      <c r="C148" s="69" t="s">
        <v>24</v>
      </c>
      <c r="D148" s="69" t="s">
        <v>24</v>
      </c>
    </row>
    <row r="149" spans="1:4" x14ac:dyDescent="0.25">
      <c r="A149" s="67">
        <v>149</v>
      </c>
      <c r="B149" s="68" t="s">
        <v>271</v>
      </c>
      <c r="C149" s="69" t="s">
        <v>24</v>
      </c>
      <c r="D149" s="69" t="s">
        <v>24</v>
      </c>
    </row>
    <row r="150" spans="1:4" x14ac:dyDescent="0.25">
      <c r="A150" s="67">
        <v>150</v>
      </c>
      <c r="B150" s="68" t="s">
        <v>272</v>
      </c>
      <c r="C150" s="69" t="s">
        <v>24</v>
      </c>
      <c r="D150" s="69" t="s">
        <v>24</v>
      </c>
    </row>
    <row r="151" spans="1:4" x14ac:dyDescent="0.25">
      <c r="A151" s="67">
        <v>151</v>
      </c>
      <c r="B151" s="68" t="s">
        <v>273</v>
      </c>
      <c r="C151" s="69" t="s">
        <v>24</v>
      </c>
      <c r="D151" s="69" t="s">
        <v>24</v>
      </c>
    </row>
    <row r="152" spans="1:4" x14ac:dyDescent="0.25">
      <c r="A152" s="67">
        <v>152</v>
      </c>
      <c r="B152" s="68" t="s">
        <v>274</v>
      </c>
      <c r="C152" s="69" t="s">
        <v>24</v>
      </c>
      <c r="D152" s="69" t="s">
        <v>24</v>
      </c>
    </row>
    <row r="153" spans="1:4" x14ac:dyDescent="0.25">
      <c r="A153" s="67">
        <v>153</v>
      </c>
      <c r="B153" s="68" t="s">
        <v>275</v>
      </c>
      <c r="C153" s="69" t="s">
        <v>24</v>
      </c>
      <c r="D153" s="69" t="s">
        <v>24</v>
      </c>
    </row>
    <row r="154" spans="1:4" ht="25.5" x14ac:dyDescent="0.25">
      <c r="A154" s="67">
        <v>154</v>
      </c>
      <c r="B154" s="68" t="s">
        <v>276</v>
      </c>
      <c r="C154" s="69" t="s">
        <v>24</v>
      </c>
      <c r="D154" s="69" t="s">
        <v>24</v>
      </c>
    </row>
    <row r="155" spans="1:4" x14ac:dyDescent="0.25">
      <c r="A155" s="67">
        <v>155</v>
      </c>
      <c r="B155" s="68" t="s">
        <v>277</v>
      </c>
      <c r="C155" s="69" t="s">
        <v>24</v>
      </c>
      <c r="D155" s="69" t="s">
        <v>24</v>
      </c>
    </row>
    <row r="156" spans="1:4" x14ac:dyDescent="0.25">
      <c r="A156" s="67">
        <v>156</v>
      </c>
      <c r="B156" s="68" t="s">
        <v>278</v>
      </c>
      <c r="C156" s="69" t="s">
        <v>24</v>
      </c>
      <c r="D156" s="69" t="s">
        <v>24</v>
      </c>
    </row>
    <row r="157" spans="1:4" x14ac:dyDescent="0.25">
      <c r="A157" s="67">
        <v>157</v>
      </c>
      <c r="B157" s="68" t="s">
        <v>279</v>
      </c>
      <c r="C157" s="69" t="s">
        <v>24</v>
      </c>
      <c r="D157" s="69" t="s">
        <v>24</v>
      </c>
    </row>
    <row r="158" spans="1:4" x14ac:dyDescent="0.25">
      <c r="A158" s="67">
        <v>158</v>
      </c>
      <c r="B158" s="68" t="s">
        <v>280</v>
      </c>
      <c r="C158" s="69" t="s">
        <v>24</v>
      </c>
      <c r="D158" s="69" t="s">
        <v>24</v>
      </c>
    </row>
    <row r="159" spans="1:4" x14ac:dyDescent="0.25">
      <c r="A159" s="67">
        <v>159</v>
      </c>
      <c r="B159" s="68" t="s">
        <v>281</v>
      </c>
      <c r="C159" s="69" t="s">
        <v>24</v>
      </c>
      <c r="D159" s="69" t="s">
        <v>24</v>
      </c>
    </row>
    <row r="160" spans="1:4" ht="25.5" x14ac:dyDescent="0.25">
      <c r="A160" s="67">
        <v>160</v>
      </c>
      <c r="B160" s="68" t="s">
        <v>282</v>
      </c>
      <c r="C160" s="69" t="s">
        <v>24</v>
      </c>
      <c r="D160" s="69" t="s">
        <v>24</v>
      </c>
    </row>
    <row r="161" spans="1:4" x14ac:dyDescent="0.25">
      <c r="A161" s="67">
        <v>161</v>
      </c>
      <c r="B161" s="68" t="s">
        <v>283</v>
      </c>
      <c r="C161" s="69" t="s">
        <v>24</v>
      </c>
      <c r="D161" s="69" t="s">
        <v>24</v>
      </c>
    </row>
    <row r="162" spans="1:4" x14ac:dyDescent="0.25">
      <c r="A162" s="67">
        <v>162</v>
      </c>
      <c r="B162" s="68" t="s">
        <v>284</v>
      </c>
      <c r="C162" s="69" t="s">
        <v>24</v>
      </c>
      <c r="D162" s="69" t="s">
        <v>24</v>
      </c>
    </row>
    <row r="163" spans="1:4" ht="25.5" x14ac:dyDescent="0.25">
      <c r="A163" s="67">
        <v>163</v>
      </c>
      <c r="B163" s="68" t="s">
        <v>285</v>
      </c>
      <c r="C163" s="69" t="s">
        <v>24</v>
      </c>
      <c r="D163" s="69" t="s">
        <v>24</v>
      </c>
    </row>
    <row r="164" spans="1:4" ht="25.5" x14ac:dyDescent="0.25">
      <c r="A164" s="67">
        <v>164</v>
      </c>
      <c r="B164" s="68" t="s">
        <v>286</v>
      </c>
      <c r="C164" s="69" t="s">
        <v>24</v>
      </c>
      <c r="D164" s="69" t="s">
        <v>24</v>
      </c>
    </row>
    <row r="165" spans="1:4" x14ac:dyDescent="0.25">
      <c r="A165" s="67">
        <v>165</v>
      </c>
      <c r="B165" s="68" t="s">
        <v>287</v>
      </c>
      <c r="C165" s="69" t="s">
        <v>24</v>
      </c>
      <c r="D165" s="69" t="s">
        <v>24</v>
      </c>
    </row>
    <row r="166" spans="1:4" x14ac:dyDescent="0.25">
      <c r="A166" s="67">
        <v>166</v>
      </c>
      <c r="B166" s="68" t="s">
        <v>288</v>
      </c>
      <c r="C166" s="69" t="s">
        <v>24</v>
      </c>
      <c r="D166" s="69" t="s">
        <v>24</v>
      </c>
    </row>
    <row r="167" spans="1:4" x14ac:dyDescent="0.25">
      <c r="A167" s="67">
        <v>167</v>
      </c>
      <c r="B167" s="68" t="s">
        <v>289</v>
      </c>
      <c r="C167" s="69" t="s">
        <v>24</v>
      </c>
      <c r="D167" s="69" t="s">
        <v>81</v>
      </c>
    </row>
    <row r="168" spans="1:4" x14ac:dyDescent="0.25">
      <c r="A168" s="67">
        <v>168</v>
      </c>
      <c r="B168" s="68" t="s">
        <v>290</v>
      </c>
      <c r="C168" s="69" t="s">
        <v>24</v>
      </c>
      <c r="D168" s="69" t="s">
        <v>24</v>
      </c>
    </row>
    <row r="169" spans="1:4" x14ac:dyDescent="0.25">
      <c r="A169" s="67">
        <v>169</v>
      </c>
      <c r="B169" s="68" t="s">
        <v>291</v>
      </c>
      <c r="C169" s="69" t="s">
        <v>24</v>
      </c>
      <c r="D169" s="69" t="s">
        <v>24</v>
      </c>
    </row>
    <row r="170" spans="1:4" ht="25.5" x14ac:dyDescent="0.25">
      <c r="A170" s="67">
        <v>170</v>
      </c>
      <c r="B170" s="68" t="s">
        <v>292</v>
      </c>
      <c r="C170" s="69" t="s">
        <v>24</v>
      </c>
      <c r="D170" s="69" t="s">
        <v>24</v>
      </c>
    </row>
    <row r="171" spans="1:4" x14ac:dyDescent="0.25">
      <c r="A171" s="67">
        <v>171</v>
      </c>
      <c r="B171" s="68" t="s">
        <v>293</v>
      </c>
      <c r="C171" s="69" t="s">
        <v>24</v>
      </c>
      <c r="D171" s="69" t="s">
        <v>24</v>
      </c>
    </row>
    <row r="172" spans="1:4" ht="25.5" x14ac:dyDescent="0.25">
      <c r="A172" s="67">
        <v>172</v>
      </c>
      <c r="B172" s="68" t="s">
        <v>294</v>
      </c>
      <c r="C172" s="69" t="s">
        <v>24</v>
      </c>
      <c r="D172" s="69" t="s">
        <v>24</v>
      </c>
    </row>
    <row r="173" spans="1:4" ht="38.25" x14ac:dyDescent="0.25">
      <c r="A173" s="67">
        <v>173</v>
      </c>
      <c r="B173" s="68" t="s">
        <v>295</v>
      </c>
      <c r="C173" s="69" t="s">
        <v>24</v>
      </c>
      <c r="D173" s="69" t="s">
        <v>24</v>
      </c>
    </row>
    <row r="174" spans="1:4" x14ac:dyDescent="0.25">
      <c r="A174" s="67">
        <v>174</v>
      </c>
      <c r="B174" s="68" t="s">
        <v>296</v>
      </c>
      <c r="C174" s="69" t="s">
        <v>24</v>
      </c>
      <c r="D174" s="69" t="s">
        <v>24</v>
      </c>
    </row>
    <row r="175" spans="1:4" ht="25.5" x14ac:dyDescent="0.25">
      <c r="A175" s="67">
        <v>175</v>
      </c>
      <c r="B175" s="68" t="s">
        <v>297</v>
      </c>
      <c r="C175" s="69" t="s">
        <v>24</v>
      </c>
      <c r="D175" s="69" t="s">
        <v>24</v>
      </c>
    </row>
    <row r="176" spans="1:4" ht="25.5" x14ac:dyDescent="0.25">
      <c r="A176" s="67">
        <v>176</v>
      </c>
      <c r="B176" s="68" t="s">
        <v>298</v>
      </c>
      <c r="C176" s="69" t="s">
        <v>24</v>
      </c>
      <c r="D176" s="69" t="s">
        <v>24</v>
      </c>
    </row>
    <row r="177" spans="1:4" ht="25.5" x14ac:dyDescent="0.25">
      <c r="A177" s="67">
        <v>177</v>
      </c>
      <c r="B177" s="68" t="s">
        <v>299</v>
      </c>
      <c r="C177" s="69" t="s">
        <v>53</v>
      </c>
      <c r="D177" s="69" t="s">
        <v>53</v>
      </c>
    </row>
    <row r="178" spans="1:4" x14ac:dyDescent="0.25">
      <c r="A178" s="67">
        <v>178</v>
      </c>
      <c r="B178" s="68" t="s">
        <v>300</v>
      </c>
      <c r="C178" s="69" t="s">
        <v>24</v>
      </c>
      <c r="D178" s="69" t="s">
        <v>24</v>
      </c>
    </row>
    <row r="179" spans="1:4" x14ac:dyDescent="0.25">
      <c r="A179" s="195">
        <v>179</v>
      </c>
      <c r="B179" s="196" t="s">
        <v>301</v>
      </c>
      <c r="C179" s="197" t="s">
        <v>24</v>
      </c>
      <c r="D179" s="197" t="s">
        <v>24</v>
      </c>
    </row>
    <row r="180" spans="1:4" x14ac:dyDescent="0.25">
      <c r="A180" s="195">
        <v>180</v>
      </c>
      <c r="B180" s="196" t="s">
        <v>302</v>
      </c>
      <c r="C180" s="197" t="s">
        <v>24</v>
      </c>
      <c r="D180" s="197" t="s">
        <v>24</v>
      </c>
    </row>
    <row r="181" spans="1:4" x14ac:dyDescent="0.25">
      <c r="A181" s="195">
        <v>181</v>
      </c>
      <c r="B181" s="196" t="s">
        <v>303</v>
      </c>
      <c r="C181" s="197" t="s">
        <v>24</v>
      </c>
      <c r="D181" s="197" t="s">
        <v>24</v>
      </c>
    </row>
    <row r="182" spans="1:4" x14ac:dyDescent="0.25">
      <c r="A182" s="195">
        <v>182</v>
      </c>
      <c r="B182" s="196" t="s">
        <v>304</v>
      </c>
      <c r="C182" s="197" t="s">
        <v>24</v>
      </c>
      <c r="D182" s="197" t="s">
        <v>24</v>
      </c>
    </row>
    <row r="183" spans="1:4" ht="25.5" x14ac:dyDescent="0.25">
      <c r="A183" s="200" t="s">
        <v>483</v>
      </c>
      <c r="B183" s="201" t="s">
        <v>487</v>
      </c>
      <c r="C183" s="202">
        <v>1</v>
      </c>
      <c r="D183" s="202">
        <v>0.4</v>
      </c>
    </row>
    <row r="184" spans="1:4" ht="25.5" x14ac:dyDescent="0.25">
      <c r="A184" s="200" t="s">
        <v>484</v>
      </c>
      <c r="B184" s="201" t="s">
        <v>488</v>
      </c>
      <c r="C184" s="202">
        <v>1</v>
      </c>
      <c r="D184" s="202">
        <v>0.4</v>
      </c>
    </row>
    <row r="185" spans="1:4" x14ac:dyDescent="0.25">
      <c r="A185" s="200" t="s">
        <v>485</v>
      </c>
      <c r="B185" s="201" t="s">
        <v>489</v>
      </c>
      <c r="C185" s="202">
        <v>0</v>
      </c>
      <c r="D185" s="202">
        <v>0</v>
      </c>
    </row>
    <row r="186" spans="1:4" x14ac:dyDescent="0.25">
      <c r="A186" s="200" t="s">
        <v>486</v>
      </c>
      <c r="B186" s="201" t="s">
        <v>490</v>
      </c>
      <c r="C186" s="202">
        <v>0</v>
      </c>
      <c r="D186" s="202">
        <v>0</v>
      </c>
    </row>
    <row r="187" spans="1:4" ht="25.5" x14ac:dyDescent="0.25">
      <c r="A187" s="200" t="s">
        <v>552</v>
      </c>
      <c r="B187" s="200" t="s">
        <v>553</v>
      </c>
      <c r="C187" s="203" t="s">
        <v>554</v>
      </c>
      <c r="D187" s="203" t="s">
        <v>554</v>
      </c>
    </row>
    <row r="188" spans="1:4" ht="25.5" x14ac:dyDescent="0.25">
      <c r="A188" s="200" t="s">
        <v>555</v>
      </c>
      <c r="B188" s="200" t="s">
        <v>556</v>
      </c>
      <c r="C188" s="203" t="s">
        <v>554</v>
      </c>
      <c r="D188" s="203" t="s">
        <v>554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55"/>
  <sheetViews>
    <sheetView topLeftCell="A34" zoomScale="130" zoomScaleNormal="130" workbookViewId="0">
      <selection activeCell="G37" sqref="G37"/>
    </sheetView>
  </sheetViews>
  <sheetFormatPr defaultRowHeight="15" x14ac:dyDescent="0.25"/>
  <cols>
    <col min="1" max="1" width="58" style="14" customWidth="1"/>
    <col min="2" max="2" width="54.7109375" style="14" customWidth="1"/>
    <col min="3" max="16384" width="9.140625" style="14"/>
  </cols>
  <sheetData>
    <row r="1" spans="1:2" x14ac:dyDescent="0.25">
      <c r="A1" s="34" t="s">
        <v>614</v>
      </c>
      <c r="B1" s="34" t="s">
        <v>386</v>
      </c>
    </row>
    <row r="2" spans="1:2" ht="31.5" customHeight="1" x14ac:dyDescent="0.25">
      <c r="A2" s="149" t="s">
        <v>305</v>
      </c>
      <c r="B2" s="81" t="s">
        <v>306</v>
      </c>
    </row>
    <row r="3" spans="1:2" ht="28.5" customHeight="1" x14ac:dyDescent="0.25">
      <c r="A3" s="153" t="s">
        <v>494</v>
      </c>
      <c r="B3" s="21" t="s">
        <v>308</v>
      </c>
    </row>
    <row r="4" spans="1:2" ht="39.75" customHeight="1" x14ac:dyDescent="0.25">
      <c r="A4" s="222" t="s">
        <v>595</v>
      </c>
      <c r="B4" s="222" t="s">
        <v>309</v>
      </c>
    </row>
    <row r="5" spans="1:2" ht="33.75" customHeight="1" x14ac:dyDescent="0.25">
      <c r="A5" s="157" t="s">
        <v>596</v>
      </c>
      <c r="B5" s="21" t="s">
        <v>311</v>
      </c>
    </row>
    <row r="6" spans="1:2" ht="31.5" customHeight="1" x14ac:dyDescent="0.25">
      <c r="A6" s="21" t="s">
        <v>495</v>
      </c>
      <c r="B6" s="21" t="s">
        <v>313</v>
      </c>
    </row>
    <row r="7" spans="1:2" ht="39" customHeight="1" x14ac:dyDescent="0.25">
      <c r="A7" s="21" t="s">
        <v>314</v>
      </c>
      <c r="B7" s="21" t="s">
        <v>315</v>
      </c>
    </row>
    <row r="8" spans="1:2" ht="38.25" customHeight="1" x14ac:dyDescent="0.25">
      <c r="A8" s="21" t="s">
        <v>316</v>
      </c>
      <c r="B8" s="21" t="s">
        <v>317</v>
      </c>
    </row>
    <row r="9" spans="1:2" ht="44.25" customHeight="1" x14ac:dyDescent="0.25">
      <c r="A9" s="182" t="s">
        <v>582</v>
      </c>
      <c r="B9" s="182" t="s">
        <v>319</v>
      </c>
    </row>
    <row r="10" spans="1:2" ht="43.5" customHeight="1" x14ac:dyDescent="0.25">
      <c r="A10" s="21" t="s">
        <v>581</v>
      </c>
      <c r="B10" s="21" t="s">
        <v>320</v>
      </c>
    </row>
    <row r="11" spans="1:2" ht="30" customHeight="1" x14ac:dyDescent="0.25">
      <c r="A11" s="21" t="s">
        <v>321</v>
      </c>
      <c r="B11" s="21" t="s">
        <v>322</v>
      </c>
    </row>
    <row r="12" spans="1:2" ht="44.25" customHeight="1" x14ac:dyDescent="0.25">
      <c r="A12" s="21" t="s">
        <v>597</v>
      </c>
      <c r="B12" s="73" t="s">
        <v>323</v>
      </c>
    </row>
    <row r="13" spans="1:2" ht="28.5" customHeight="1" x14ac:dyDescent="0.25">
      <c r="A13" s="22" t="s">
        <v>512</v>
      </c>
      <c r="B13" s="89" t="s">
        <v>613</v>
      </c>
    </row>
    <row r="14" spans="1:2" ht="27.75" customHeight="1" x14ac:dyDescent="0.25">
      <c r="A14" s="21" t="s">
        <v>598</v>
      </c>
      <c r="B14" s="21" t="s">
        <v>326</v>
      </c>
    </row>
    <row r="15" spans="1:2" ht="76.5" customHeight="1" x14ac:dyDescent="0.25">
      <c r="A15" s="56" t="s">
        <v>583</v>
      </c>
      <c r="B15" s="21" t="s">
        <v>629</v>
      </c>
    </row>
    <row r="16" spans="1:2" ht="42" customHeight="1" x14ac:dyDescent="0.25">
      <c r="A16" s="21" t="s">
        <v>327</v>
      </c>
      <c r="B16" s="22" t="s">
        <v>513</v>
      </c>
    </row>
    <row r="17" spans="1:2" ht="39" customHeight="1" x14ac:dyDescent="0.25">
      <c r="A17" s="23" t="s">
        <v>584</v>
      </c>
      <c r="B17" s="223" t="s">
        <v>625</v>
      </c>
    </row>
    <row r="18" spans="1:2" ht="30" x14ac:dyDescent="0.25">
      <c r="A18" s="21" t="s">
        <v>329</v>
      </c>
      <c r="B18" s="216" t="s">
        <v>330</v>
      </c>
    </row>
    <row r="19" spans="1:2" ht="30" x14ac:dyDescent="0.25">
      <c r="A19" s="21" t="s">
        <v>331</v>
      </c>
      <c r="B19" s="21" t="s">
        <v>332</v>
      </c>
    </row>
    <row r="20" spans="1:2" ht="17.25" customHeight="1" x14ac:dyDescent="0.25">
      <c r="A20" s="21" t="s">
        <v>333</v>
      </c>
      <c r="B20" s="21" t="s">
        <v>334</v>
      </c>
    </row>
    <row r="21" spans="1:2" ht="30" x14ac:dyDescent="0.25">
      <c r="A21" s="21" t="s">
        <v>585</v>
      </c>
      <c r="B21" s="21" t="s">
        <v>335</v>
      </c>
    </row>
    <row r="22" spans="1:2" ht="30" x14ac:dyDescent="0.25">
      <c r="A22" s="178" t="s">
        <v>336</v>
      </c>
      <c r="B22" s="21" t="s">
        <v>337</v>
      </c>
    </row>
    <row r="23" spans="1:2" ht="30" x14ac:dyDescent="0.25">
      <c r="A23" s="21" t="s">
        <v>338</v>
      </c>
      <c r="B23" s="178" t="s">
        <v>586</v>
      </c>
    </row>
    <row r="24" spans="1:2" ht="30" x14ac:dyDescent="0.25">
      <c r="A24" s="336" t="s">
        <v>340</v>
      </c>
      <c r="B24" s="219" t="s">
        <v>341</v>
      </c>
    </row>
    <row r="25" spans="1:2" ht="30" x14ac:dyDescent="0.25">
      <c r="A25" s="336" t="s">
        <v>342</v>
      </c>
      <c r="B25" s="336" t="s">
        <v>343</v>
      </c>
    </row>
    <row r="26" spans="1:2" ht="30" x14ac:dyDescent="0.25">
      <c r="A26" s="92" t="s">
        <v>344</v>
      </c>
      <c r="B26" s="21" t="s">
        <v>345</v>
      </c>
    </row>
    <row r="27" spans="1:2" ht="30" x14ac:dyDescent="0.25">
      <c r="A27" s="21" t="s">
        <v>346</v>
      </c>
      <c r="B27" s="213" t="s">
        <v>587</v>
      </c>
    </row>
    <row r="28" spans="1:2" ht="24" customHeight="1" x14ac:dyDescent="0.25">
      <c r="A28" s="21" t="s">
        <v>469</v>
      </c>
      <c r="B28" s="21"/>
    </row>
    <row r="29" spans="1:2" ht="21" customHeight="1" x14ac:dyDescent="0.25">
      <c r="A29" s="164" t="s">
        <v>474</v>
      </c>
      <c r="B29" s="21"/>
    </row>
    <row r="30" spans="1:2" ht="30" x14ac:dyDescent="0.25">
      <c r="A30" s="153" t="s">
        <v>348</v>
      </c>
      <c r="B30" s="21" t="s">
        <v>349</v>
      </c>
    </row>
    <row r="31" spans="1:2" ht="30" x14ac:dyDescent="0.25">
      <c r="A31" s="160" t="s">
        <v>588</v>
      </c>
      <c r="B31" s="21" t="s">
        <v>351</v>
      </c>
    </row>
    <row r="32" spans="1:2" ht="30" x14ac:dyDescent="0.25">
      <c r="A32" s="21" t="s">
        <v>352</v>
      </c>
      <c r="B32" s="21" t="s">
        <v>353</v>
      </c>
    </row>
    <row r="33" spans="1:2" ht="30" x14ac:dyDescent="0.25">
      <c r="A33" s="21" t="s">
        <v>354</v>
      </c>
      <c r="B33" s="21" t="s">
        <v>355</v>
      </c>
    </row>
    <row r="34" spans="1:2" ht="60" x14ac:dyDescent="0.25">
      <c r="A34" s="21" t="s">
        <v>589</v>
      </c>
      <c r="B34" s="216" t="s">
        <v>356</v>
      </c>
    </row>
    <row r="35" spans="1:2" ht="30" x14ac:dyDescent="0.25">
      <c r="A35" s="21" t="s">
        <v>357</v>
      </c>
      <c r="B35" s="21" t="s">
        <v>592</v>
      </c>
    </row>
    <row r="36" spans="1:2" ht="30" x14ac:dyDescent="0.25">
      <c r="A36" s="216" t="s">
        <v>590</v>
      </c>
      <c r="B36" s="21" t="s">
        <v>591</v>
      </c>
    </row>
    <row r="37" spans="1:2" ht="24" customHeight="1" x14ac:dyDescent="0.25">
      <c r="A37" s="21" t="s">
        <v>470</v>
      </c>
      <c r="B37" s="21"/>
    </row>
    <row r="38" spans="1:2" ht="30" x14ac:dyDescent="0.25">
      <c r="A38" s="149" t="s">
        <v>475</v>
      </c>
      <c r="B38" s="21"/>
    </row>
    <row r="39" spans="1:2" ht="24.75" customHeight="1" x14ac:dyDescent="0.25">
      <c r="A39" s="21" t="s">
        <v>471</v>
      </c>
      <c r="B39" s="21"/>
    </row>
    <row r="40" spans="1:2" ht="30" x14ac:dyDescent="0.25">
      <c r="A40" s="149" t="s">
        <v>476</v>
      </c>
      <c r="B40" s="21"/>
    </row>
    <row r="41" spans="1:2" ht="30" x14ac:dyDescent="0.25">
      <c r="A41" s="21" t="s">
        <v>358</v>
      </c>
      <c r="B41" s="21" t="s">
        <v>359</v>
      </c>
    </row>
    <row r="42" spans="1:2" ht="45" x14ac:dyDescent="0.25">
      <c r="A42" s="21" t="s">
        <v>360</v>
      </c>
      <c r="B42" s="23" t="s">
        <v>593</v>
      </c>
    </row>
    <row r="43" spans="1:2" x14ac:dyDescent="0.25">
      <c r="A43" s="21" t="s">
        <v>362</v>
      </c>
      <c r="B43" s="21"/>
    </row>
    <row r="44" spans="1:2" ht="30" x14ac:dyDescent="0.25">
      <c r="A44" s="21" t="s">
        <v>363</v>
      </c>
      <c r="B44" s="21"/>
    </row>
    <row r="45" spans="1:2" x14ac:dyDescent="0.25">
      <c r="A45" s="21" t="s">
        <v>364</v>
      </c>
      <c r="B45" s="21"/>
    </row>
    <row r="46" spans="1:2" x14ac:dyDescent="0.25">
      <c r="A46" s="21" t="s">
        <v>365</v>
      </c>
      <c r="B46" s="21"/>
    </row>
    <row r="47" spans="1:2" ht="30" x14ac:dyDescent="0.25">
      <c r="A47" s="21" t="s">
        <v>366</v>
      </c>
      <c r="B47" s="21"/>
    </row>
    <row r="48" spans="1:2" ht="30" x14ac:dyDescent="0.25">
      <c r="A48" s="21" t="s">
        <v>367</v>
      </c>
      <c r="B48" s="21"/>
    </row>
    <row r="49" spans="1:2" ht="30" x14ac:dyDescent="0.25">
      <c r="A49" s="21" t="s">
        <v>368</v>
      </c>
      <c r="B49" s="21"/>
    </row>
    <row r="50" spans="1:2" x14ac:dyDescent="0.25">
      <c r="A50" s="21" t="s">
        <v>369</v>
      </c>
      <c r="B50" s="21"/>
    </row>
    <row r="51" spans="1:2" x14ac:dyDescent="0.25">
      <c r="A51" s="185" t="s">
        <v>370</v>
      </c>
      <c r="B51" s="21"/>
    </row>
    <row r="52" spans="1:2" ht="24.75" customHeight="1" x14ac:dyDescent="0.25">
      <c r="A52" s="183" t="s">
        <v>472</v>
      </c>
      <c r="B52" s="21"/>
    </row>
    <row r="53" spans="1:2" ht="45" x14ac:dyDescent="0.25">
      <c r="A53" s="73" t="s">
        <v>622</v>
      </c>
      <c r="B53" s="21"/>
    </row>
    <row r="54" spans="1:2" ht="45" x14ac:dyDescent="0.25">
      <c r="A54" s="73" t="s">
        <v>621</v>
      </c>
      <c r="B54" s="21"/>
    </row>
    <row r="55" spans="1:2" ht="30" x14ac:dyDescent="0.25">
      <c r="A55" s="73" t="s">
        <v>620</v>
      </c>
      <c r="B55" s="21"/>
    </row>
  </sheetData>
  <autoFilter ref="A1:B1" xr:uid="{00000000-0001-0000-0E00-00000000000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U31"/>
  <sheetViews>
    <sheetView zoomScale="140" zoomScaleNormal="140" workbookViewId="0">
      <pane ySplit="1" topLeftCell="A14" activePane="bottomLeft" state="frozen"/>
      <selection pane="bottomLeft" activeCell="M3" sqref="M3"/>
    </sheetView>
  </sheetViews>
  <sheetFormatPr defaultColWidth="9.140625" defaultRowHeight="15" x14ac:dyDescent="0.25"/>
  <cols>
    <col min="1" max="1" width="9.140625" style="1"/>
    <col min="2" max="2" width="1.140625" style="1" customWidth="1"/>
    <col min="3" max="3" width="30" style="1" customWidth="1"/>
    <col min="4" max="4" width="3.140625" style="1" customWidth="1"/>
    <col min="5" max="5" width="0.7109375" style="1" customWidth="1"/>
    <col min="6" max="6" width="30" style="1" customWidth="1"/>
    <col min="7" max="7" width="3.140625" style="1" customWidth="1"/>
    <col min="8" max="8" width="0.7109375" style="1" customWidth="1"/>
    <col min="9" max="9" width="30" style="1" customWidth="1"/>
    <col min="10" max="10" width="0.7109375" style="1" customWidth="1"/>
    <col min="11" max="11" width="3.140625" style="1" customWidth="1"/>
    <col min="12" max="12" width="0.7109375" style="1" customWidth="1"/>
    <col min="13" max="13" width="30" style="1" customWidth="1"/>
    <col min="14" max="14" width="0.7109375" style="1" customWidth="1"/>
    <col min="15" max="15" width="3.140625" style="1" customWidth="1"/>
    <col min="16" max="16" width="0.7109375" style="1" customWidth="1"/>
    <col min="17" max="17" width="30" style="1" customWidth="1"/>
    <col min="18" max="18" width="0.7109375" style="1" customWidth="1"/>
    <col min="19" max="19" width="3.140625" style="1" customWidth="1"/>
    <col min="20" max="20" width="0.7109375" style="1" customWidth="1"/>
    <col min="21" max="21" width="30" style="1" customWidth="1"/>
    <col min="22" max="16384" width="9.140625" style="1"/>
  </cols>
  <sheetData>
    <row r="1" spans="2:21" ht="102.75" customHeight="1" x14ac:dyDescent="0.25">
      <c r="B1" s="6"/>
      <c r="C1" s="7" t="s">
        <v>3</v>
      </c>
      <c r="D1" s="8"/>
      <c r="E1" s="6"/>
      <c r="F1" s="7" t="s">
        <v>0</v>
      </c>
      <c r="G1" s="8"/>
      <c r="H1" s="6"/>
      <c r="I1" s="7" t="s">
        <v>2</v>
      </c>
      <c r="J1" s="8"/>
      <c r="K1" s="8"/>
      <c r="L1" s="6"/>
      <c r="M1" s="7" t="s">
        <v>1</v>
      </c>
      <c r="N1" s="8"/>
      <c r="O1" s="8"/>
      <c r="P1" s="6"/>
      <c r="Q1" s="7" t="s">
        <v>4</v>
      </c>
      <c r="R1" s="8"/>
      <c r="S1" s="8"/>
      <c r="T1" s="6"/>
      <c r="U1" s="7" t="s">
        <v>5</v>
      </c>
    </row>
    <row r="2" spans="2:21" ht="7.5" customHeight="1" x14ac:dyDescent="0.25">
      <c r="B2" s="6"/>
      <c r="C2" s="9"/>
      <c r="D2" s="8"/>
      <c r="E2" s="6"/>
      <c r="F2" s="9"/>
      <c r="G2" s="8"/>
      <c r="H2" s="6"/>
      <c r="I2" s="9"/>
      <c r="J2" s="8"/>
      <c r="K2" s="8"/>
      <c r="L2" s="6"/>
      <c r="M2" s="9"/>
      <c r="N2" s="8"/>
      <c r="O2" s="8"/>
      <c r="P2" s="6"/>
      <c r="Q2" s="9"/>
      <c r="R2" s="8"/>
      <c r="S2" s="8"/>
      <c r="T2" s="6"/>
      <c r="U2" s="9"/>
    </row>
    <row r="3" spans="2:21" ht="63" customHeight="1" x14ac:dyDescent="0.25">
      <c r="B3" s="10"/>
      <c r="C3" s="11" t="s">
        <v>6</v>
      </c>
      <c r="D3" s="8"/>
      <c r="E3" s="10"/>
      <c r="F3" s="11" t="s">
        <v>6</v>
      </c>
      <c r="G3" s="8"/>
      <c r="H3" s="10"/>
      <c r="I3" s="11" t="s">
        <v>6</v>
      </c>
      <c r="J3" s="8"/>
      <c r="K3" s="8"/>
      <c r="L3" s="10"/>
      <c r="M3" s="11" t="s">
        <v>6</v>
      </c>
      <c r="N3" s="8"/>
      <c r="O3" s="8"/>
      <c r="P3" s="10"/>
      <c r="Q3" s="11" t="s">
        <v>6</v>
      </c>
      <c r="R3" s="8"/>
      <c r="S3" s="8"/>
      <c r="T3" s="10"/>
      <c r="U3" s="11" t="s">
        <v>6</v>
      </c>
    </row>
    <row r="4" spans="2:21" ht="7.5" hidden="1" customHeight="1" x14ac:dyDescent="0.25">
      <c r="B4" s="6"/>
      <c r="C4" s="9"/>
      <c r="D4" s="8"/>
      <c r="E4" s="6"/>
      <c r="F4" s="9"/>
      <c r="G4" s="8"/>
      <c r="H4" s="6"/>
      <c r="I4" s="9"/>
      <c r="J4" s="8"/>
      <c r="K4" s="8"/>
      <c r="L4" s="6"/>
      <c r="M4" s="9"/>
      <c r="N4" s="8"/>
      <c r="O4" s="8"/>
      <c r="P4" s="6"/>
      <c r="Q4" s="9"/>
      <c r="R4" s="8"/>
      <c r="S4" s="8"/>
      <c r="T4" s="6"/>
      <c r="U4" s="9"/>
    </row>
    <row r="5" spans="2:21" ht="45.75" customHeight="1" x14ac:dyDescent="0.25">
      <c r="B5" s="10"/>
      <c r="C5" s="11" t="s">
        <v>13</v>
      </c>
      <c r="D5" s="8"/>
      <c r="E5" s="10"/>
      <c r="F5" s="11" t="s">
        <v>13</v>
      </c>
      <c r="G5" s="8"/>
      <c r="H5" s="10"/>
      <c r="I5" s="11" t="s">
        <v>13</v>
      </c>
      <c r="J5" s="8"/>
      <c r="K5" s="8"/>
      <c r="L5" s="10"/>
      <c r="M5" s="11" t="s">
        <v>13</v>
      </c>
      <c r="N5" s="8"/>
      <c r="O5" s="8"/>
      <c r="P5" s="10"/>
      <c r="Q5" s="11" t="s">
        <v>13</v>
      </c>
      <c r="R5" s="8"/>
      <c r="S5" s="8"/>
      <c r="T5" s="10"/>
      <c r="U5" s="11" t="s">
        <v>13</v>
      </c>
    </row>
    <row r="6" spans="2:21" ht="7.5" customHeight="1" x14ac:dyDescent="0.25">
      <c r="B6" s="6"/>
      <c r="C6" s="9"/>
      <c r="D6" s="8"/>
      <c r="E6" s="6"/>
      <c r="F6" s="9"/>
      <c r="G6" s="8"/>
      <c r="H6" s="6"/>
      <c r="I6" s="9"/>
      <c r="J6" s="8"/>
      <c r="K6" s="8"/>
      <c r="L6" s="6"/>
      <c r="M6" s="9"/>
      <c r="N6" s="8"/>
      <c r="O6" s="8"/>
      <c r="P6" s="6"/>
      <c r="Q6" s="9"/>
      <c r="R6" s="8"/>
      <c r="S6" s="8"/>
      <c r="T6" s="6"/>
      <c r="U6" s="9"/>
    </row>
    <row r="7" spans="2:21" ht="78" customHeight="1" x14ac:dyDescent="0.25">
      <c r="B7" s="10"/>
      <c r="C7" s="11" t="s">
        <v>7</v>
      </c>
      <c r="D7" s="8"/>
      <c r="E7" s="10"/>
      <c r="F7" s="11" t="s">
        <v>7</v>
      </c>
      <c r="G7" s="8"/>
      <c r="H7" s="10"/>
      <c r="I7" s="11" t="s">
        <v>7</v>
      </c>
      <c r="J7" s="8"/>
      <c r="K7" s="8"/>
      <c r="L7" s="10"/>
      <c r="M7" s="11" t="s">
        <v>7</v>
      </c>
      <c r="N7" s="8"/>
      <c r="O7" s="8"/>
      <c r="P7" s="10"/>
      <c r="Q7" s="11" t="s">
        <v>7</v>
      </c>
      <c r="R7" s="8"/>
      <c r="S7" s="8"/>
      <c r="T7" s="10"/>
      <c r="U7" s="11" t="s">
        <v>7</v>
      </c>
    </row>
    <row r="8" spans="2:21" ht="7.5" customHeight="1" x14ac:dyDescent="0.25">
      <c r="B8" s="6"/>
      <c r="C8" s="9"/>
      <c r="D8" s="8"/>
      <c r="E8" s="6"/>
      <c r="F8" s="9"/>
      <c r="G8" s="8"/>
      <c r="H8" s="6"/>
      <c r="I8" s="9"/>
      <c r="J8" s="8"/>
      <c r="K8" s="8"/>
      <c r="L8" s="6"/>
      <c r="M8" s="9"/>
      <c r="N8" s="8"/>
      <c r="O8" s="8"/>
      <c r="P8" s="6"/>
      <c r="Q8" s="9"/>
      <c r="R8" s="8"/>
      <c r="S8" s="8"/>
      <c r="T8" s="6"/>
      <c r="U8" s="9"/>
    </row>
    <row r="9" spans="2:21" ht="60" customHeight="1" x14ac:dyDescent="0.25">
      <c r="B9" s="10"/>
      <c r="C9" s="11" t="s">
        <v>14</v>
      </c>
      <c r="D9" s="8"/>
      <c r="E9" s="10"/>
      <c r="F9" s="11" t="s">
        <v>14</v>
      </c>
      <c r="G9" s="8"/>
      <c r="H9" s="10"/>
      <c r="I9" s="11" t="s">
        <v>14</v>
      </c>
      <c r="J9" s="8"/>
      <c r="K9" s="8"/>
      <c r="L9" s="10"/>
      <c r="M9" s="11" t="s">
        <v>14</v>
      </c>
      <c r="N9" s="8"/>
      <c r="O9" s="8"/>
      <c r="P9" s="10"/>
      <c r="Q9" s="11" t="s">
        <v>14</v>
      </c>
      <c r="R9" s="8"/>
      <c r="S9" s="8"/>
      <c r="T9" s="10"/>
      <c r="U9" s="11" t="s">
        <v>14</v>
      </c>
    </row>
    <row r="10" spans="2:21" ht="7.5" customHeight="1" x14ac:dyDescent="0.25">
      <c r="B10" s="6"/>
      <c r="C10" s="9"/>
      <c r="D10" s="8"/>
      <c r="E10" s="6"/>
      <c r="F10" s="9"/>
      <c r="G10" s="8"/>
      <c r="H10" s="6"/>
      <c r="I10" s="9"/>
      <c r="J10" s="8"/>
      <c r="K10" s="8"/>
      <c r="L10" s="6"/>
      <c r="M10" s="9"/>
      <c r="N10" s="8"/>
      <c r="O10" s="8"/>
      <c r="P10" s="6"/>
      <c r="Q10" s="9"/>
      <c r="R10" s="8"/>
      <c r="S10" s="8"/>
      <c r="T10" s="6"/>
      <c r="U10" s="9"/>
    </row>
    <row r="11" spans="2:21" ht="107.25" customHeight="1" x14ac:dyDescent="0.25">
      <c r="B11" s="10"/>
      <c r="C11" s="11" t="s">
        <v>11</v>
      </c>
      <c r="D11" s="8"/>
      <c r="E11" s="10"/>
      <c r="F11" s="11" t="s">
        <v>11</v>
      </c>
      <c r="G11" s="8"/>
      <c r="H11" s="10"/>
      <c r="I11" s="11" t="s">
        <v>11</v>
      </c>
      <c r="J11" s="8"/>
      <c r="K11" s="8"/>
      <c r="L11" s="10"/>
      <c r="M11" s="11" t="s">
        <v>11</v>
      </c>
      <c r="N11" s="8"/>
      <c r="O11" s="8"/>
      <c r="P11" s="10"/>
      <c r="Q11" s="11" t="s">
        <v>11</v>
      </c>
      <c r="R11" s="8"/>
      <c r="S11" s="8"/>
      <c r="T11" s="10"/>
      <c r="U11" s="11" t="s">
        <v>11</v>
      </c>
    </row>
    <row r="12" spans="2:21" ht="7.5" customHeight="1" x14ac:dyDescent="0.25">
      <c r="B12" s="6"/>
      <c r="C12" s="9"/>
      <c r="D12" s="8"/>
      <c r="E12" s="6"/>
      <c r="F12" s="9"/>
      <c r="G12" s="8"/>
      <c r="H12" s="6"/>
      <c r="I12" s="9"/>
      <c r="J12" s="8"/>
      <c r="K12" s="8"/>
      <c r="L12" s="6"/>
      <c r="M12" s="9"/>
      <c r="N12" s="8"/>
      <c r="O12" s="8"/>
      <c r="P12" s="6"/>
      <c r="Q12" s="9"/>
      <c r="R12" s="8"/>
      <c r="S12" s="8"/>
      <c r="T12" s="6"/>
      <c r="U12" s="9"/>
    </row>
    <row r="13" spans="2:21" ht="33.75" customHeight="1" x14ac:dyDescent="0.25">
      <c r="B13" s="10"/>
      <c r="C13" s="11" t="s">
        <v>15</v>
      </c>
      <c r="D13" s="8"/>
      <c r="E13" s="10"/>
      <c r="F13" s="11" t="s">
        <v>15</v>
      </c>
      <c r="G13" s="8"/>
      <c r="H13" s="10"/>
      <c r="I13" s="11" t="s">
        <v>15</v>
      </c>
      <c r="J13" s="8"/>
      <c r="K13" s="8"/>
      <c r="L13" s="10"/>
      <c r="M13" s="11" t="s">
        <v>15</v>
      </c>
      <c r="N13" s="8"/>
      <c r="O13" s="8"/>
      <c r="P13" s="10"/>
      <c r="Q13" s="11" t="s">
        <v>15</v>
      </c>
      <c r="R13" s="8"/>
      <c r="S13" s="8"/>
      <c r="T13" s="10"/>
      <c r="U13" s="11" t="s">
        <v>15</v>
      </c>
    </row>
    <row r="14" spans="2:21" ht="7.5" customHeight="1" x14ac:dyDescent="0.25">
      <c r="B14" s="6"/>
      <c r="C14" s="9"/>
      <c r="D14" s="8"/>
      <c r="E14" s="6"/>
      <c r="F14" s="9"/>
      <c r="G14" s="8"/>
      <c r="H14" s="6"/>
      <c r="I14" s="9"/>
      <c r="J14" s="8"/>
      <c r="K14" s="8"/>
      <c r="L14" s="6"/>
      <c r="M14" s="9"/>
      <c r="N14" s="8"/>
      <c r="O14" s="8"/>
      <c r="P14" s="6"/>
      <c r="Q14" s="9"/>
      <c r="R14" s="8"/>
      <c r="S14" s="8"/>
      <c r="T14" s="6"/>
      <c r="U14" s="9"/>
    </row>
    <row r="15" spans="2:21" ht="79.5" customHeight="1" x14ac:dyDescent="0.25">
      <c r="B15" s="10"/>
      <c r="C15" s="11" t="s">
        <v>9</v>
      </c>
      <c r="D15" s="8"/>
      <c r="E15" s="10"/>
      <c r="F15" s="11" t="s">
        <v>9</v>
      </c>
      <c r="G15" s="8"/>
      <c r="H15" s="10"/>
      <c r="I15" s="11" t="s">
        <v>9</v>
      </c>
      <c r="J15" s="8"/>
      <c r="K15" s="8"/>
      <c r="L15" s="10"/>
      <c r="M15" s="11" t="s">
        <v>8</v>
      </c>
      <c r="N15" s="8"/>
      <c r="O15" s="8"/>
      <c r="P15" s="10"/>
      <c r="Q15" s="11" t="s">
        <v>9</v>
      </c>
      <c r="R15" s="8"/>
      <c r="S15" s="8"/>
      <c r="T15" s="10"/>
      <c r="U15" s="11" t="s">
        <v>8</v>
      </c>
    </row>
    <row r="16" spans="2:21" ht="7.5" customHeight="1" x14ac:dyDescent="0.25">
      <c r="B16" s="6"/>
      <c r="C16" s="9"/>
      <c r="D16" s="8"/>
      <c r="E16" s="6"/>
      <c r="F16" s="9"/>
      <c r="G16" s="8"/>
      <c r="H16" s="6"/>
      <c r="I16" s="9"/>
      <c r="J16" s="8"/>
      <c r="K16" s="8"/>
      <c r="L16" s="6"/>
      <c r="M16" s="9"/>
      <c r="N16" s="8"/>
      <c r="O16" s="8"/>
      <c r="P16" s="6"/>
      <c r="Q16" s="9"/>
      <c r="R16" s="8"/>
      <c r="S16" s="8"/>
      <c r="T16" s="6"/>
      <c r="U16" s="9"/>
    </row>
    <row r="17" spans="2:21" ht="67.5" customHeight="1" x14ac:dyDescent="0.25">
      <c r="B17" s="10"/>
      <c r="C17" s="11" t="s">
        <v>16</v>
      </c>
      <c r="D17" s="8"/>
      <c r="E17" s="10"/>
      <c r="F17" s="11" t="s">
        <v>16</v>
      </c>
      <c r="G17" s="8"/>
      <c r="H17" s="10"/>
      <c r="I17" s="11" t="s">
        <v>16</v>
      </c>
      <c r="J17" s="8"/>
      <c r="K17" s="8"/>
      <c r="L17" s="10"/>
      <c r="M17" s="11" t="s">
        <v>17</v>
      </c>
      <c r="N17" s="8"/>
      <c r="O17" s="8"/>
      <c r="P17" s="10"/>
      <c r="Q17" s="11" t="s">
        <v>16</v>
      </c>
      <c r="R17" s="8"/>
      <c r="S17" s="8"/>
      <c r="T17" s="10"/>
      <c r="U17" s="11" t="s">
        <v>18</v>
      </c>
    </row>
    <row r="18" spans="2:21" ht="7.5" customHeight="1" x14ac:dyDescent="0.25">
      <c r="B18" s="6"/>
      <c r="C18" s="9"/>
      <c r="D18" s="8"/>
      <c r="E18" s="6"/>
      <c r="F18" s="9"/>
      <c r="G18" s="8"/>
      <c r="H18" s="6"/>
      <c r="I18" s="9"/>
      <c r="J18" s="8"/>
      <c r="K18" s="8"/>
      <c r="L18" s="6"/>
      <c r="M18" s="9"/>
      <c r="N18" s="8"/>
      <c r="O18" s="8"/>
      <c r="P18" s="6"/>
      <c r="Q18" s="9"/>
      <c r="R18" s="8"/>
      <c r="S18" s="8"/>
      <c r="T18" s="6"/>
      <c r="U18" s="9"/>
    </row>
    <row r="19" spans="2:21" ht="76.5" customHeight="1" x14ac:dyDescent="0.25">
      <c r="B19" s="10"/>
      <c r="C19" s="11" t="s">
        <v>10</v>
      </c>
      <c r="D19" s="8"/>
      <c r="E19" s="10"/>
      <c r="F19" s="11" t="s">
        <v>10</v>
      </c>
      <c r="G19" s="8"/>
      <c r="H19" s="10"/>
      <c r="I19" s="11" t="s">
        <v>10</v>
      </c>
      <c r="J19" s="8"/>
      <c r="K19" s="8"/>
      <c r="L19" s="10"/>
      <c r="M19" s="11" t="s">
        <v>9</v>
      </c>
      <c r="N19" s="8"/>
      <c r="O19" s="8"/>
      <c r="P19" s="10"/>
      <c r="Q19" s="11" t="s">
        <v>10</v>
      </c>
      <c r="R19" s="8"/>
      <c r="S19" s="8"/>
      <c r="T19" s="10"/>
      <c r="U19" s="11" t="s">
        <v>9</v>
      </c>
    </row>
    <row r="20" spans="2:21" ht="7.5" customHeight="1" x14ac:dyDescent="0.25">
      <c r="B20" s="6"/>
      <c r="C20" s="9"/>
      <c r="D20" s="8"/>
      <c r="E20" s="6"/>
      <c r="F20" s="9"/>
      <c r="G20" s="8"/>
      <c r="H20" s="6"/>
      <c r="I20" s="9"/>
      <c r="J20" s="8"/>
      <c r="K20" s="8"/>
      <c r="L20" s="6"/>
      <c r="M20" s="9"/>
      <c r="N20" s="8"/>
      <c r="O20" s="8"/>
      <c r="P20" s="6"/>
      <c r="Q20" s="9"/>
      <c r="R20" s="8"/>
      <c r="S20" s="8"/>
      <c r="T20" s="6"/>
      <c r="U20" s="9"/>
    </row>
    <row r="21" spans="2:21" ht="68.25" customHeight="1" x14ac:dyDescent="0.25">
      <c r="B21" s="10"/>
      <c r="C21" s="11" t="s">
        <v>19</v>
      </c>
      <c r="D21" s="8"/>
      <c r="E21" s="10"/>
      <c r="F21" s="11" t="s">
        <v>19</v>
      </c>
      <c r="G21" s="8"/>
      <c r="H21" s="10"/>
      <c r="I21" s="11" t="s">
        <v>19</v>
      </c>
      <c r="J21" s="8"/>
      <c r="K21" s="8"/>
      <c r="L21" s="10"/>
      <c r="M21" s="11" t="s">
        <v>16</v>
      </c>
      <c r="N21" s="8"/>
      <c r="O21" s="8"/>
      <c r="P21" s="10"/>
      <c r="Q21" s="11" t="s">
        <v>19</v>
      </c>
      <c r="R21" s="8"/>
      <c r="S21" s="8"/>
      <c r="T21" s="10"/>
      <c r="U21" s="11" t="s">
        <v>16</v>
      </c>
    </row>
    <row r="22" spans="2:21" ht="7.5" customHeight="1" x14ac:dyDescent="0.25">
      <c r="B22" s="6"/>
      <c r="C22" s="9"/>
      <c r="D22" s="8"/>
      <c r="E22" s="6"/>
      <c r="F22" s="9"/>
      <c r="G22" s="8"/>
      <c r="H22" s="6"/>
      <c r="I22" s="9"/>
      <c r="J22" s="8"/>
      <c r="K22" s="8"/>
      <c r="L22" s="6"/>
      <c r="M22" s="9"/>
      <c r="N22" s="8"/>
      <c r="O22" s="8"/>
      <c r="P22" s="6"/>
      <c r="Q22" s="9"/>
      <c r="R22" s="8"/>
      <c r="S22" s="8"/>
      <c r="T22" s="6"/>
      <c r="U22" s="9"/>
    </row>
    <row r="23" spans="2:21" ht="135.75" customHeight="1" x14ac:dyDescent="0.25">
      <c r="B23" s="10"/>
      <c r="C23" s="11" t="s">
        <v>12</v>
      </c>
      <c r="D23" s="8"/>
      <c r="E23" s="10"/>
      <c r="F23" s="11" t="s">
        <v>12</v>
      </c>
      <c r="G23" s="8"/>
      <c r="H23" s="10"/>
      <c r="I23" s="11" t="s">
        <v>12</v>
      </c>
      <c r="J23" s="8"/>
      <c r="K23" s="8"/>
      <c r="L23" s="10"/>
      <c r="M23" s="11" t="s">
        <v>10</v>
      </c>
      <c r="N23" s="8"/>
      <c r="O23" s="8"/>
      <c r="P23" s="10"/>
      <c r="Q23" s="11" t="s">
        <v>12</v>
      </c>
      <c r="R23" s="8"/>
      <c r="S23" s="8"/>
      <c r="T23" s="10"/>
      <c r="U23" s="11" t="s">
        <v>10</v>
      </c>
    </row>
    <row r="24" spans="2:21" ht="7.5" customHeight="1" x14ac:dyDescent="0.25">
      <c r="B24" s="6"/>
      <c r="C24" s="9"/>
      <c r="D24" s="8"/>
      <c r="E24" s="6"/>
      <c r="F24" s="9"/>
      <c r="G24" s="8"/>
      <c r="H24" s="6"/>
      <c r="I24" s="9"/>
      <c r="J24" s="8"/>
      <c r="K24" s="8"/>
      <c r="L24" s="6"/>
      <c r="M24" s="9"/>
      <c r="N24" s="8"/>
      <c r="O24" s="8"/>
      <c r="P24" s="6"/>
      <c r="Q24" s="9"/>
      <c r="R24" s="8"/>
      <c r="S24" s="8"/>
      <c r="T24" s="6"/>
      <c r="U24" s="9"/>
    </row>
    <row r="25" spans="2:21" ht="63.75" customHeight="1" x14ac:dyDescent="0.25">
      <c r="B25" s="10"/>
      <c r="C25" s="11" t="s">
        <v>20</v>
      </c>
      <c r="D25" s="8"/>
      <c r="E25" s="10"/>
      <c r="F25" s="11" t="s">
        <v>20</v>
      </c>
      <c r="G25" s="8"/>
      <c r="H25" s="10"/>
      <c r="I25" s="11" t="s">
        <v>20</v>
      </c>
      <c r="J25" s="8"/>
      <c r="K25" s="8"/>
      <c r="L25" s="10"/>
      <c r="M25" s="11" t="s">
        <v>19</v>
      </c>
      <c r="N25" s="8"/>
      <c r="O25" s="8"/>
      <c r="P25" s="10"/>
      <c r="Q25" s="11" t="s">
        <v>20</v>
      </c>
      <c r="R25" s="8"/>
      <c r="S25" s="8"/>
      <c r="T25" s="10"/>
      <c r="U25" s="11" t="s">
        <v>19</v>
      </c>
    </row>
    <row r="26" spans="2:21" ht="7.5" customHeight="1" x14ac:dyDescent="0.25">
      <c r="B26" s="6"/>
      <c r="C26" s="9"/>
      <c r="D26" s="8"/>
      <c r="E26" s="6"/>
      <c r="F26" s="9"/>
      <c r="G26" s="8"/>
      <c r="H26" s="6"/>
      <c r="I26" s="9"/>
      <c r="J26" s="8"/>
      <c r="K26" s="8"/>
      <c r="L26" s="6"/>
      <c r="M26" s="9"/>
      <c r="N26" s="8"/>
      <c r="O26" s="8"/>
      <c r="P26" s="6"/>
      <c r="Q26" s="9"/>
      <c r="R26" s="8"/>
      <c r="S26" s="8"/>
      <c r="T26" s="6"/>
      <c r="U26" s="9"/>
    </row>
    <row r="27" spans="2:21" ht="138" customHeight="1" x14ac:dyDescent="0.25">
      <c r="B27" s="10"/>
      <c r="C27" s="12"/>
      <c r="D27" s="8"/>
      <c r="E27" s="10"/>
      <c r="F27" s="12"/>
      <c r="G27" s="8"/>
      <c r="H27" s="10"/>
      <c r="I27" s="12"/>
      <c r="J27" s="8"/>
      <c r="K27" s="8"/>
      <c r="L27" s="10"/>
      <c r="M27" s="11" t="s">
        <v>12</v>
      </c>
      <c r="N27" s="8"/>
      <c r="O27" s="8"/>
      <c r="P27" s="10"/>
      <c r="Q27" s="12"/>
      <c r="R27" s="8"/>
      <c r="S27" s="8"/>
      <c r="T27" s="10"/>
      <c r="U27" s="11" t="s">
        <v>12</v>
      </c>
    </row>
    <row r="28" spans="2:21" ht="7.5" customHeight="1" x14ac:dyDescent="0.25">
      <c r="B28" s="6"/>
      <c r="C28" s="9"/>
      <c r="D28" s="8"/>
      <c r="E28" s="6"/>
      <c r="F28" s="9"/>
      <c r="G28" s="8"/>
      <c r="H28" s="6"/>
      <c r="I28" s="9"/>
      <c r="J28" s="8"/>
      <c r="K28" s="8"/>
      <c r="L28" s="6"/>
      <c r="M28" s="9"/>
      <c r="N28" s="8"/>
      <c r="O28" s="8"/>
      <c r="P28" s="6"/>
      <c r="Q28" s="9"/>
      <c r="R28" s="8"/>
      <c r="S28" s="8"/>
      <c r="T28" s="6"/>
      <c r="U28" s="9"/>
    </row>
    <row r="29" spans="2:21" ht="78.75" customHeight="1" x14ac:dyDescent="0.25">
      <c r="B29" s="10"/>
      <c r="C29" s="12"/>
      <c r="D29" s="8"/>
      <c r="E29" s="10"/>
      <c r="F29" s="12"/>
      <c r="G29" s="8"/>
      <c r="H29" s="10"/>
      <c r="I29" s="12"/>
      <c r="J29" s="8"/>
      <c r="K29" s="8"/>
      <c r="L29" s="10"/>
      <c r="M29" s="11" t="s">
        <v>20</v>
      </c>
      <c r="N29" s="8"/>
      <c r="O29" s="8"/>
      <c r="P29" s="10"/>
      <c r="Q29" s="12"/>
      <c r="R29" s="8"/>
      <c r="S29" s="8"/>
      <c r="T29" s="10"/>
      <c r="U29" s="11" t="s">
        <v>20</v>
      </c>
    </row>
    <row r="30" spans="2:21" ht="7.5" customHeight="1" x14ac:dyDescent="0.25">
      <c r="B30" s="2"/>
      <c r="C30" s="3"/>
      <c r="E30" s="2"/>
      <c r="F30" s="3"/>
      <c r="H30" s="2"/>
      <c r="I30" s="3"/>
      <c r="L30" s="2"/>
      <c r="M30" s="3"/>
      <c r="P30" s="2"/>
      <c r="Q30" s="3"/>
      <c r="T30" s="2"/>
      <c r="U30" s="3"/>
    </row>
    <row r="31" spans="2:21" ht="37.5" customHeight="1" x14ac:dyDescent="0.25">
      <c r="B31" s="4"/>
      <c r="C31" s="5"/>
      <c r="E31" s="4"/>
      <c r="F31" s="5"/>
      <c r="H31" s="4"/>
      <c r="I31" s="5"/>
      <c r="L31" s="4"/>
      <c r="M31" s="5"/>
      <c r="P31" s="4"/>
      <c r="Q31" s="5"/>
      <c r="T31" s="4"/>
      <c r="U31" s="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4FD47-DFE6-4199-B22B-58D5A3B181F5}">
  <sheetPr>
    <tabColor rgb="FF00B0F0"/>
    <pageSetUpPr fitToPage="1"/>
  </sheetPr>
  <dimension ref="A1:X47"/>
  <sheetViews>
    <sheetView topLeftCell="I25" zoomScale="80" zoomScaleNormal="80" workbookViewId="0">
      <selection activeCell="Y9" sqref="Y9"/>
    </sheetView>
  </sheetViews>
  <sheetFormatPr defaultRowHeight="15" x14ac:dyDescent="0.25"/>
  <cols>
    <col min="1" max="1" width="54.42578125" style="14" customWidth="1"/>
    <col min="2" max="2" width="15.85546875" style="13" customWidth="1"/>
    <col min="3" max="3" width="33.140625" style="14" customWidth="1"/>
    <col min="4" max="4" width="18.7109375" style="43" bestFit="1" customWidth="1"/>
    <col min="5" max="5" width="17.28515625" style="43" bestFit="1" customWidth="1"/>
    <col min="6" max="6" width="19.5703125" style="43" bestFit="1" customWidth="1"/>
    <col min="7" max="7" width="19" style="43" bestFit="1" customWidth="1"/>
    <col min="8" max="8" width="17.28515625" style="43" bestFit="1" customWidth="1"/>
    <col min="9" max="9" width="17.5703125" style="43" customWidth="1"/>
    <col min="10" max="10" width="14.85546875" style="43" customWidth="1"/>
    <col min="11" max="11" width="22.140625" style="43" customWidth="1"/>
    <col min="12" max="12" width="36.7109375" style="43" customWidth="1"/>
    <col min="13" max="13" width="32" style="14" customWidth="1"/>
    <col min="14" max="14" width="15" style="14" customWidth="1"/>
    <col min="15" max="15" width="10.7109375" style="14" customWidth="1"/>
    <col min="16" max="16" width="15" style="14" customWidth="1"/>
    <col min="17" max="17" width="14.5703125" style="14" customWidth="1"/>
    <col min="18" max="18" width="31.5703125" style="14" customWidth="1"/>
    <col min="19" max="19" width="15.7109375" style="14" customWidth="1"/>
    <col min="20" max="20" width="11.28515625" style="14" customWidth="1"/>
    <col min="21" max="21" width="14.140625" style="14" customWidth="1"/>
    <col min="22" max="22" width="14.42578125" style="14" customWidth="1"/>
    <col min="23" max="23" width="31.28515625" style="292" customWidth="1"/>
    <col min="24" max="24" width="17.28515625" style="14" bestFit="1" customWidth="1"/>
    <col min="25" max="16384" width="9.140625" style="14"/>
  </cols>
  <sheetData>
    <row r="1" spans="1:24" ht="29.25" customHeight="1" x14ac:dyDescent="0.25">
      <c r="G1" s="330" t="s">
        <v>649</v>
      </c>
      <c r="H1" s="328"/>
      <c r="I1" s="329"/>
      <c r="K1" s="333" t="s">
        <v>650</v>
      </c>
      <c r="L1" s="334"/>
    </row>
    <row r="2" spans="1:24" s="37" customFormat="1" ht="55.5" customHeight="1" x14ac:dyDescent="0.25">
      <c r="A2" s="34" t="s">
        <v>377</v>
      </c>
      <c r="B2" s="87" t="s">
        <v>378</v>
      </c>
      <c r="C2" s="34" t="s">
        <v>379</v>
      </c>
      <c r="D2" s="38" t="s">
        <v>411</v>
      </c>
      <c r="E2" s="38" t="s">
        <v>412</v>
      </c>
      <c r="F2" s="38" t="s">
        <v>413</v>
      </c>
      <c r="G2" s="39" t="s">
        <v>648</v>
      </c>
      <c r="H2" s="39" t="s">
        <v>508</v>
      </c>
      <c r="I2" s="39" t="s">
        <v>509</v>
      </c>
      <c r="J2" s="39" t="s">
        <v>626</v>
      </c>
      <c r="K2" s="257" t="s">
        <v>627</v>
      </c>
      <c r="L2" s="257" t="s">
        <v>628</v>
      </c>
      <c r="M2" s="34" t="s">
        <v>385</v>
      </c>
      <c r="N2" s="40" t="s">
        <v>514</v>
      </c>
      <c r="O2" s="34">
        <v>2029</v>
      </c>
      <c r="P2" s="40" t="s">
        <v>646</v>
      </c>
      <c r="Q2" s="257" t="s">
        <v>647</v>
      </c>
      <c r="R2" s="34" t="s">
        <v>386</v>
      </c>
      <c r="S2" s="40" t="s">
        <v>514</v>
      </c>
      <c r="T2" s="34">
        <v>2029</v>
      </c>
      <c r="U2" s="40" t="s">
        <v>646</v>
      </c>
      <c r="V2" s="257" t="s">
        <v>647</v>
      </c>
      <c r="W2" s="458" t="s">
        <v>750</v>
      </c>
    </row>
    <row r="3" spans="1:24" s="37" customFormat="1" x14ac:dyDescent="0.25">
      <c r="A3" s="31" t="s">
        <v>572</v>
      </c>
      <c r="B3" s="87"/>
      <c r="C3" s="31" t="s">
        <v>574</v>
      </c>
      <c r="D3" s="173">
        <v>2139715532</v>
      </c>
      <c r="E3" s="173">
        <v>391022526</v>
      </c>
      <c r="F3" s="173">
        <v>2530738058</v>
      </c>
      <c r="G3" s="173">
        <v>2139715532</v>
      </c>
      <c r="H3" s="173">
        <v>391022526</v>
      </c>
      <c r="I3" s="173">
        <v>2530738058</v>
      </c>
      <c r="J3" s="173"/>
      <c r="K3" s="173"/>
      <c r="L3" s="173"/>
      <c r="M3" s="31"/>
      <c r="N3" s="31"/>
      <c r="O3" s="127"/>
      <c r="P3" s="127"/>
      <c r="Q3" s="127"/>
      <c r="R3" s="31"/>
      <c r="S3" s="31"/>
      <c r="T3" s="136"/>
      <c r="U3" s="136"/>
      <c r="V3" s="136"/>
      <c r="W3" s="435"/>
    </row>
    <row r="4" spans="1:24" s="37" customFormat="1" x14ac:dyDescent="0.25">
      <c r="A4" s="31" t="s">
        <v>384</v>
      </c>
      <c r="B4" s="87"/>
      <c r="C4" s="31" t="s">
        <v>408</v>
      </c>
      <c r="D4" s="173">
        <v>419649966</v>
      </c>
      <c r="E4" s="173">
        <v>74055877</v>
      </c>
      <c r="F4" s="173">
        <v>493705843</v>
      </c>
      <c r="G4" s="173">
        <v>382741460</v>
      </c>
      <c r="H4" s="173">
        <v>67542611</v>
      </c>
      <c r="I4" s="173">
        <v>450284071</v>
      </c>
      <c r="J4" s="173"/>
      <c r="K4" s="173"/>
      <c r="L4" s="173"/>
      <c r="M4" s="103" t="s">
        <v>604</v>
      </c>
      <c r="N4" s="31"/>
      <c r="O4" s="127"/>
      <c r="P4" s="127"/>
      <c r="Q4" s="127"/>
      <c r="R4" s="31"/>
      <c r="S4" s="31"/>
      <c r="T4" s="136"/>
      <c r="U4" s="136"/>
      <c r="V4" s="136"/>
      <c r="W4" s="435"/>
    </row>
    <row r="5" spans="1:24" ht="19.5" customHeight="1" x14ac:dyDescent="0.25">
      <c r="A5" s="26" t="s">
        <v>389</v>
      </c>
      <c r="B5" s="24"/>
      <c r="C5" s="22" t="s">
        <v>409</v>
      </c>
      <c r="D5" s="171">
        <f t="shared" ref="D5:I5" si="0">D7+D16+D19+D28+D30</f>
        <v>419649966</v>
      </c>
      <c r="E5" s="171">
        <f t="shared" si="0"/>
        <v>74055877</v>
      </c>
      <c r="F5" s="171">
        <f t="shared" si="0"/>
        <v>493705843</v>
      </c>
      <c r="G5" s="172">
        <f t="shared" si="0"/>
        <v>382741460</v>
      </c>
      <c r="H5" s="172">
        <f t="shared" si="0"/>
        <v>67542611</v>
      </c>
      <c r="I5" s="172">
        <f t="shared" si="0"/>
        <v>450284071</v>
      </c>
      <c r="J5" s="172"/>
      <c r="K5" s="251">
        <f>K7+K16+K19+K28+K30</f>
        <v>382741460</v>
      </c>
      <c r="L5" s="285" t="s">
        <v>630</v>
      </c>
      <c r="M5" s="115">
        <f>D5-G5</f>
        <v>36908506</v>
      </c>
      <c r="N5" s="22"/>
      <c r="O5" s="128"/>
      <c r="P5" s="128"/>
      <c r="Q5" s="128"/>
      <c r="R5" s="22"/>
      <c r="S5" s="22"/>
      <c r="T5" s="137"/>
      <c r="U5" s="240"/>
      <c r="V5" s="240"/>
      <c r="W5" s="436"/>
    </row>
    <row r="6" spans="1:24" ht="15.75" customHeight="1" x14ac:dyDescent="0.25">
      <c r="A6" s="21" t="s">
        <v>401</v>
      </c>
      <c r="B6" s="19"/>
      <c r="C6" s="21"/>
      <c r="D6" s="174">
        <f>D4-D5</f>
        <v>0</v>
      </c>
      <c r="E6" s="174">
        <f t="shared" ref="E6:I6" si="1">E4-E5</f>
        <v>0</v>
      </c>
      <c r="F6" s="174">
        <f t="shared" si="1"/>
        <v>0</v>
      </c>
      <c r="G6" s="174">
        <f>G4-G5</f>
        <v>0</v>
      </c>
      <c r="H6" s="174">
        <f t="shared" si="1"/>
        <v>0</v>
      </c>
      <c r="I6" s="174">
        <f t="shared" si="1"/>
        <v>0</v>
      </c>
      <c r="J6" s="174"/>
      <c r="K6" s="174"/>
      <c r="L6" s="174"/>
      <c r="M6" s="21"/>
      <c r="N6" s="21"/>
      <c r="O6" s="129"/>
      <c r="P6" s="129"/>
      <c r="Q6" s="129"/>
      <c r="R6" s="21"/>
      <c r="S6" s="21"/>
      <c r="T6" s="138"/>
      <c r="U6" s="138"/>
      <c r="V6" s="138"/>
      <c r="W6" s="437"/>
    </row>
    <row r="7" spans="1:24" ht="30" x14ac:dyDescent="0.25">
      <c r="A7" s="22" t="s">
        <v>439</v>
      </c>
      <c r="B7" s="24"/>
      <c r="C7" s="22" t="s">
        <v>402</v>
      </c>
      <c r="D7" s="171">
        <f t="shared" ref="D7:I7" si="2">SUM(D8:D15)</f>
        <v>227401745</v>
      </c>
      <c r="E7" s="171">
        <f t="shared" si="2"/>
        <v>40129720</v>
      </c>
      <c r="F7" s="171">
        <f t="shared" si="2"/>
        <v>267531465</v>
      </c>
      <c r="G7" s="171">
        <f t="shared" si="2"/>
        <v>227401745</v>
      </c>
      <c r="H7" s="171">
        <f t="shared" si="2"/>
        <v>40129720</v>
      </c>
      <c r="I7" s="171">
        <f t="shared" si="2"/>
        <v>267531465</v>
      </c>
      <c r="J7" s="171"/>
      <c r="K7" s="251">
        <f>SUM(K8:K15)</f>
        <v>231651745</v>
      </c>
      <c r="L7" s="285" t="s">
        <v>638</v>
      </c>
      <c r="M7" s="22"/>
      <c r="N7" s="22"/>
      <c r="O7" s="128"/>
      <c r="P7" s="128"/>
      <c r="Q7" s="128"/>
      <c r="R7" s="22"/>
      <c r="S7" s="22"/>
      <c r="T7" s="137"/>
      <c r="U7" s="137"/>
      <c r="V7" s="137"/>
      <c r="W7" s="437"/>
      <c r="X7" s="43"/>
    </row>
    <row r="8" spans="1:24" ht="48.75" customHeight="1" x14ac:dyDescent="0.25">
      <c r="A8" s="464" t="s">
        <v>547</v>
      </c>
      <c r="B8" s="494" t="s">
        <v>64</v>
      </c>
      <c r="C8" s="464" t="s">
        <v>65</v>
      </c>
      <c r="D8" s="500">
        <v>209551745</v>
      </c>
      <c r="E8" s="500">
        <v>36979720</v>
      </c>
      <c r="F8" s="500">
        <v>246531465</v>
      </c>
      <c r="G8" s="500">
        <v>209551745</v>
      </c>
      <c r="H8" s="500">
        <v>36979720</v>
      </c>
      <c r="I8" s="500">
        <v>246531465</v>
      </c>
      <c r="J8" s="472">
        <f>G8/I8</f>
        <v>0.8499999989859307</v>
      </c>
      <c r="K8" s="477">
        <f>G8</f>
        <v>209551745</v>
      </c>
      <c r="L8" s="480" t="s">
        <v>635</v>
      </c>
      <c r="M8" s="149" t="s">
        <v>305</v>
      </c>
      <c r="N8" s="21" t="s">
        <v>516</v>
      </c>
      <c r="O8" s="129">
        <v>424</v>
      </c>
      <c r="P8" s="129">
        <v>424</v>
      </c>
      <c r="Q8" s="129">
        <f>P8</f>
        <v>424</v>
      </c>
      <c r="R8" s="81" t="s">
        <v>306</v>
      </c>
      <c r="S8" s="21" t="s">
        <v>530</v>
      </c>
      <c r="T8" s="142">
        <v>1590</v>
      </c>
      <c r="U8" s="142">
        <v>1590</v>
      </c>
      <c r="V8" s="142">
        <f>U8</f>
        <v>1590</v>
      </c>
      <c r="W8" s="438"/>
    </row>
    <row r="9" spans="1:24" ht="42.75" customHeight="1" x14ac:dyDescent="0.25">
      <c r="A9" s="465"/>
      <c r="B9" s="506"/>
      <c r="C9" s="465"/>
      <c r="D9" s="502"/>
      <c r="E9" s="502"/>
      <c r="F9" s="502"/>
      <c r="G9" s="502"/>
      <c r="H9" s="502"/>
      <c r="I9" s="502"/>
      <c r="J9" s="473"/>
      <c r="K9" s="478"/>
      <c r="L9" s="481"/>
      <c r="M9" s="153" t="s">
        <v>494</v>
      </c>
      <c r="N9" s="21" t="s">
        <v>516</v>
      </c>
      <c r="O9" s="129">
        <v>424</v>
      </c>
      <c r="P9" s="129">
        <v>424</v>
      </c>
      <c r="Q9" s="129">
        <f>P9</f>
        <v>424</v>
      </c>
      <c r="R9" s="21"/>
      <c r="S9" s="21"/>
      <c r="T9" s="138"/>
      <c r="U9" s="138"/>
      <c r="V9" s="138"/>
      <c r="W9" s="437"/>
    </row>
    <row r="10" spans="1:24" ht="72.75" customHeight="1" x14ac:dyDescent="0.25">
      <c r="A10" s="465"/>
      <c r="B10" s="495"/>
      <c r="C10" s="466"/>
      <c r="D10" s="501"/>
      <c r="E10" s="501"/>
      <c r="F10" s="501"/>
      <c r="G10" s="501"/>
      <c r="H10" s="501"/>
      <c r="I10" s="501"/>
      <c r="J10" s="474"/>
      <c r="K10" s="479"/>
      <c r="L10" s="482"/>
      <c r="M10" s="185" t="s">
        <v>680</v>
      </c>
      <c r="N10" s="21" t="s">
        <v>515</v>
      </c>
      <c r="O10" s="129">
        <v>171</v>
      </c>
      <c r="P10" s="129">
        <v>171</v>
      </c>
      <c r="Q10" s="129">
        <f>P10</f>
        <v>171</v>
      </c>
      <c r="R10" s="23" t="s">
        <v>681</v>
      </c>
      <c r="S10" s="21" t="s">
        <v>515</v>
      </c>
      <c r="T10" s="138">
        <v>171</v>
      </c>
      <c r="U10" s="138">
        <v>171</v>
      </c>
      <c r="V10" s="138">
        <f>U10</f>
        <v>171</v>
      </c>
      <c r="W10" s="437"/>
    </row>
    <row r="11" spans="1:24" ht="45" customHeight="1" x14ac:dyDescent="0.25">
      <c r="A11" s="465"/>
      <c r="B11" s="509" t="s">
        <v>72</v>
      </c>
      <c r="C11" s="503" t="s">
        <v>497</v>
      </c>
      <c r="D11" s="315"/>
      <c r="E11" s="315"/>
      <c r="F11" s="315"/>
      <c r="G11" s="315"/>
      <c r="H11" s="315"/>
      <c r="I11" s="315"/>
      <c r="J11" s="489">
        <v>0.85</v>
      </c>
      <c r="K11" s="485">
        <v>4250000</v>
      </c>
      <c r="L11" s="487" t="s">
        <v>664</v>
      </c>
      <c r="M11" s="302" t="s">
        <v>305</v>
      </c>
      <c r="N11" s="280" t="s">
        <v>516</v>
      </c>
      <c r="O11" s="311"/>
      <c r="P11" s="320"/>
      <c r="Q11" s="303">
        <v>40</v>
      </c>
      <c r="R11" s="379" t="s">
        <v>639</v>
      </c>
      <c r="S11" s="280" t="s">
        <v>516</v>
      </c>
      <c r="T11" s="314"/>
      <c r="U11" s="320"/>
      <c r="V11" s="306">
        <v>40</v>
      </c>
      <c r="W11" s="434" t="s">
        <v>754</v>
      </c>
    </row>
    <row r="12" spans="1:24" ht="45" customHeight="1" x14ac:dyDescent="0.25">
      <c r="A12" s="465"/>
      <c r="B12" s="510"/>
      <c r="C12" s="504"/>
      <c r="D12" s="315"/>
      <c r="E12" s="315"/>
      <c r="F12" s="315"/>
      <c r="G12" s="315"/>
      <c r="H12" s="315"/>
      <c r="I12" s="315"/>
      <c r="J12" s="490"/>
      <c r="K12" s="486"/>
      <c r="L12" s="488"/>
      <c r="M12" s="288" t="s">
        <v>494</v>
      </c>
      <c r="N12" s="280" t="s">
        <v>516</v>
      </c>
      <c r="O12" s="311"/>
      <c r="P12" s="320"/>
      <c r="Q12" s="303">
        <v>40</v>
      </c>
      <c r="R12" s="305" t="s">
        <v>306</v>
      </c>
      <c r="S12" s="280" t="s">
        <v>530</v>
      </c>
      <c r="T12" s="314"/>
      <c r="U12" s="320"/>
      <c r="V12" s="306">
        <v>40</v>
      </c>
      <c r="W12" s="434" t="s">
        <v>755</v>
      </c>
    </row>
    <row r="13" spans="1:24" ht="54" customHeight="1" x14ac:dyDescent="0.25">
      <c r="A13" s="466"/>
      <c r="B13" s="511"/>
      <c r="C13" s="505"/>
      <c r="D13" s="315"/>
      <c r="E13" s="315"/>
      <c r="F13" s="315"/>
      <c r="G13" s="315"/>
      <c r="H13" s="315"/>
      <c r="I13" s="315"/>
      <c r="J13" s="491"/>
      <c r="K13" s="486"/>
      <c r="L13" s="488"/>
      <c r="M13" s="304" t="s">
        <v>495</v>
      </c>
      <c r="N13" s="280" t="s">
        <v>516</v>
      </c>
      <c r="O13" s="311"/>
      <c r="P13" s="320"/>
      <c r="Q13" s="303">
        <v>40</v>
      </c>
      <c r="R13" s="21"/>
      <c r="S13" s="21"/>
      <c r="T13" s="21"/>
      <c r="U13" s="21"/>
      <c r="V13" s="21"/>
      <c r="W13" s="439"/>
    </row>
    <row r="14" spans="1:24" ht="45" x14ac:dyDescent="0.25">
      <c r="A14" s="464" t="s">
        <v>548</v>
      </c>
      <c r="B14" s="507" t="s">
        <v>62</v>
      </c>
      <c r="C14" s="464" t="s">
        <v>63</v>
      </c>
      <c r="D14" s="500">
        <v>17850000</v>
      </c>
      <c r="E14" s="500">
        <f>F14-D14</f>
        <v>3150000</v>
      </c>
      <c r="F14" s="500">
        <f>ROUND(D14*100/85,0)</f>
        <v>21000000</v>
      </c>
      <c r="G14" s="500">
        <v>17850000</v>
      </c>
      <c r="H14" s="500">
        <v>3150000</v>
      </c>
      <c r="I14" s="500">
        <v>21000000</v>
      </c>
      <c r="J14" s="472">
        <f>G14/I14</f>
        <v>0.85</v>
      </c>
      <c r="K14" s="468">
        <f>G14</f>
        <v>17850000</v>
      </c>
      <c r="L14" s="470" t="s">
        <v>630</v>
      </c>
      <c r="M14" s="149" t="s">
        <v>305</v>
      </c>
      <c r="N14" s="21" t="s">
        <v>516</v>
      </c>
      <c r="O14" s="129">
        <v>300</v>
      </c>
      <c r="P14" s="129">
        <v>300</v>
      </c>
      <c r="Q14" s="129">
        <f>P14</f>
        <v>300</v>
      </c>
      <c r="R14" s="89" t="s">
        <v>613</v>
      </c>
      <c r="S14" s="21" t="s">
        <v>516</v>
      </c>
      <c r="T14" s="138">
        <v>75</v>
      </c>
      <c r="U14" s="138">
        <v>75</v>
      </c>
      <c r="V14" s="138">
        <f>U14</f>
        <v>75</v>
      </c>
      <c r="W14" s="437"/>
    </row>
    <row r="15" spans="1:24" ht="43.5" customHeight="1" x14ac:dyDescent="0.25">
      <c r="A15" s="466"/>
      <c r="B15" s="508"/>
      <c r="C15" s="466"/>
      <c r="D15" s="501"/>
      <c r="E15" s="501"/>
      <c r="F15" s="501"/>
      <c r="G15" s="501"/>
      <c r="H15" s="501"/>
      <c r="I15" s="501"/>
      <c r="J15" s="474"/>
      <c r="K15" s="469"/>
      <c r="L15" s="471"/>
      <c r="M15" s="157" t="s">
        <v>596</v>
      </c>
      <c r="N15" s="21" t="s">
        <v>516</v>
      </c>
      <c r="O15" s="129">
        <v>300</v>
      </c>
      <c r="P15" s="129">
        <v>300</v>
      </c>
      <c r="Q15" s="129">
        <f>P15</f>
        <v>300</v>
      </c>
      <c r="R15" s="81" t="s">
        <v>306</v>
      </c>
      <c r="S15" s="21" t="s">
        <v>524</v>
      </c>
      <c r="T15" s="138">
        <v>150</v>
      </c>
      <c r="U15" s="138">
        <v>150</v>
      </c>
      <c r="V15" s="138">
        <f>U15</f>
        <v>150</v>
      </c>
      <c r="W15" s="437"/>
    </row>
    <row r="16" spans="1:24" ht="20.25" customHeight="1" x14ac:dyDescent="0.25">
      <c r="A16" s="22" t="s">
        <v>440</v>
      </c>
      <c r="B16" s="24"/>
      <c r="C16" s="22" t="s">
        <v>406</v>
      </c>
      <c r="D16" s="171">
        <f t="shared" ref="D16:K16" si="3">SUM(D17:D18)</f>
        <v>54053880</v>
      </c>
      <c r="E16" s="171">
        <f t="shared" si="3"/>
        <v>9538920</v>
      </c>
      <c r="F16" s="171">
        <f t="shared" si="3"/>
        <v>63592800</v>
      </c>
      <c r="G16" s="172">
        <f t="shared" si="3"/>
        <v>42184167</v>
      </c>
      <c r="H16" s="172">
        <f t="shared" si="3"/>
        <v>7444265</v>
      </c>
      <c r="I16" s="172">
        <f t="shared" si="3"/>
        <v>49628432</v>
      </c>
      <c r="J16" s="172"/>
      <c r="K16" s="274">
        <f t="shared" si="3"/>
        <v>42184167</v>
      </c>
      <c r="L16" s="299" t="s">
        <v>630</v>
      </c>
      <c r="M16" s="104">
        <f>D16-G16</f>
        <v>11869713</v>
      </c>
      <c r="N16" s="22"/>
      <c r="O16" s="128"/>
      <c r="P16" s="128"/>
      <c r="Q16" s="128"/>
      <c r="R16" s="22"/>
      <c r="S16" s="22"/>
      <c r="T16" s="137"/>
      <c r="U16" s="137"/>
      <c r="V16" s="137"/>
      <c r="W16" s="437"/>
    </row>
    <row r="17" spans="1:24" ht="109.5" customHeight="1" x14ac:dyDescent="0.25">
      <c r="A17" s="21" t="s">
        <v>477</v>
      </c>
      <c r="B17" s="90">
        <v>139</v>
      </c>
      <c r="C17" s="23" t="s">
        <v>261</v>
      </c>
      <c r="D17" s="168">
        <v>16253615</v>
      </c>
      <c r="E17" s="168">
        <f>F17-D17</f>
        <v>2868285</v>
      </c>
      <c r="F17" s="168">
        <f>ROUND(D17*100/85,0)</f>
        <v>19121900</v>
      </c>
      <c r="G17" s="169">
        <v>10053942</v>
      </c>
      <c r="H17" s="169">
        <f>I17-G17</f>
        <v>1774225</v>
      </c>
      <c r="I17" s="169">
        <v>11828167</v>
      </c>
      <c r="J17" s="258">
        <f>G17/I17</f>
        <v>0.85000000422719768</v>
      </c>
      <c r="K17" s="272">
        <f>G17</f>
        <v>10053942</v>
      </c>
      <c r="L17" s="273" t="s">
        <v>630</v>
      </c>
      <c r="M17" s="160" t="s">
        <v>588</v>
      </c>
      <c r="N17" s="23" t="s">
        <v>520</v>
      </c>
      <c r="O17" s="125">
        <v>8810</v>
      </c>
      <c r="P17" s="126">
        <f>I17*O17/F17</f>
        <v>5449.5709772564442</v>
      </c>
      <c r="Q17" s="321">
        <f>P17</f>
        <v>5449.5709772564442</v>
      </c>
      <c r="R17" s="213" t="s">
        <v>587</v>
      </c>
      <c r="S17" s="23" t="s">
        <v>526</v>
      </c>
      <c r="T17" s="143">
        <v>1785</v>
      </c>
      <c r="U17" s="141">
        <f>T17*I17/F17</f>
        <v>1104.1412252443533</v>
      </c>
      <c r="V17" s="319">
        <f>U17</f>
        <v>1104.1412252443533</v>
      </c>
      <c r="W17" s="21" t="s">
        <v>751</v>
      </c>
      <c r="X17" s="43"/>
    </row>
    <row r="18" spans="1:24" ht="68.25" customHeight="1" x14ac:dyDescent="0.25">
      <c r="A18" s="21" t="s">
        <v>478</v>
      </c>
      <c r="B18" s="90">
        <v>146</v>
      </c>
      <c r="C18" s="23" t="s">
        <v>268</v>
      </c>
      <c r="D18" s="168">
        <v>37800265</v>
      </c>
      <c r="E18" s="168">
        <v>6670635</v>
      </c>
      <c r="F18" s="168">
        <v>44470900</v>
      </c>
      <c r="G18" s="169">
        <v>32130225</v>
      </c>
      <c r="H18" s="169">
        <f>I18-G18</f>
        <v>5670040</v>
      </c>
      <c r="I18" s="169">
        <v>37800265</v>
      </c>
      <c r="J18" s="258">
        <f>G18/I18</f>
        <v>0.84999999338628973</v>
      </c>
      <c r="K18" s="272">
        <f>G18</f>
        <v>32130225</v>
      </c>
      <c r="L18" s="273" t="s">
        <v>630</v>
      </c>
      <c r="M18" s="185" t="s">
        <v>680</v>
      </c>
      <c r="N18" s="23" t="s">
        <v>515</v>
      </c>
      <c r="O18" s="125">
        <v>6700</v>
      </c>
      <c r="P18" s="126">
        <f>I18*O18/F18</f>
        <v>5695</v>
      </c>
      <c r="Q18" s="321">
        <f>P18</f>
        <v>5695</v>
      </c>
      <c r="R18" s="23" t="s">
        <v>681</v>
      </c>
      <c r="S18" s="23" t="s">
        <v>515</v>
      </c>
      <c r="T18" s="143">
        <v>1407</v>
      </c>
      <c r="U18" s="141">
        <f>T18*I18/F18</f>
        <v>1195.95</v>
      </c>
      <c r="V18" s="319">
        <f>U18</f>
        <v>1195.95</v>
      </c>
      <c r="W18" s="21" t="s">
        <v>751</v>
      </c>
      <c r="X18" s="43"/>
    </row>
    <row r="19" spans="1:24" ht="30" x14ac:dyDescent="0.25">
      <c r="A19" s="22" t="s">
        <v>457</v>
      </c>
      <c r="B19" s="24"/>
      <c r="C19" s="22" t="s">
        <v>405</v>
      </c>
      <c r="D19" s="171">
        <f t="shared" ref="D19:I19" si="4">SUM(D20:D27)</f>
        <v>112694341</v>
      </c>
      <c r="E19" s="171">
        <f t="shared" si="4"/>
        <v>19887237</v>
      </c>
      <c r="F19" s="171">
        <f t="shared" si="4"/>
        <v>132581578</v>
      </c>
      <c r="G19" s="172">
        <f t="shared" si="4"/>
        <v>87655548</v>
      </c>
      <c r="H19" s="172">
        <f t="shared" si="4"/>
        <v>15468626</v>
      </c>
      <c r="I19" s="172">
        <f t="shared" si="4"/>
        <v>103124174</v>
      </c>
      <c r="J19" s="172"/>
      <c r="K19" s="251">
        <f>SUM(K20:K27)</f>
        <v>87655548</v>
      </c>
      <c r="L19" s="285" t="s">
        <v>630</v>
      </c>
      <c r="M19" s="112">
        <f>D19-G19</f>
        <v>25038793</v>
      </c>
      <c r="N19" s="22"/>
      <c r="O19" s="128"/>
      <c r="P19" s="128"/>
      <c r="Q19" s="128"/>
      <c r="R19" s="22"/>
      <c r="S19" s="22"/>
      <c r="T19" s="137"/>
      <c r="U19" s="137"/>
      <c r="V19" s="137"/>
      <c r="W19" s="437"/>
    </row>
    <row r="20" spans="1:24" ht="70.5" customHeight="1" x14ac:dyDescent="0.25">
      <c r="A20" s="464" t="s">
        <v>443</v>
      </c>
      <c r="B20" s="90" t="s">
        <v>116</v>
      </c>
      <c r="C20" s="23" t="s">
        <v>117</v>
      </c>
      <c r="D20" s="168">
        <v>15342500</v>
      </c>
      <c r="E20" s="168">
        <f>F20-D20</f>
        <v>2707500</v>
      </c>
      <c r="F20" s="168">
        <f t="shared" ref="F20:F26" si="5">ROUND(D20*100/85,0)</f>
        <v>18050000</v>
      </c>
      <c r="G20" s="169">
        <v>11380658</v>
      </c>
      <c r="H20" s="169">
        <f>I20-G20</f>
        <v>2008351</v>
      </c>
      <c r="I20" s="169">
        <v>13389009</v>
      </c>
      <c r="J20" s="258">
        <f>G20/I20</f>
        <v>0.85000002614084436</v>
      </c>
      <c r="K20" s="296">
        <f>G20</f>
        <v>11380658</v>
      </c>
      <c r="L20" s="273" t="s">
        <v>630</v>
      </c>
      <c r="M20" s="23" t="s">
        <v>584</v>
      </c>
      <c r="N20" s="23" t="s">
        <v>517</v>
      </c>
      <c r="O20" s="130">
        <v>11</v>
      </c>
      <c r="P20" s="131">
        <v>8</v>
      </c>
      <c r="Q20" s="322">
        <f>P20</f>
        <v>8</v>
      </c>
      <c r="R20" s="216" t="s">
        <v>330</v>
      </c>
      <c r="S20" s="23" t="s">
        <v>531</v>
      </c>
      <c r="T20" s="143">
        <v>23100</v>
      </c>
      <c r="U20" s="141">
        <f>ROUND(T20*I20/F20,0)</f>
        <v>17135</v>
      </c>
      <c r="V20" s="319">
        <f>U20</f>
        <v>17135</v>
      </c>
      <c r="W20" s="21" t="s">
        <v>751</v>
      </c>
    </row>
    <row r="21" spans="1:24" ht="77.25" customHeight="1" x14ac:dyDescent="0.25">
      <c r="A21" s="465"/>
      <c r="B21" s="90" t="s">
        <v>118</v>
      </c>
      <c r="C21" s="21" t="s">
        <v>119</v>
      </c>
      <c r="D21" s="170">
        <v>15810000</v>
      </c>
      <c r="E21" s="170">
        <f>F21-D21</f>
        <v>2790000</v>
      </c>
      <c r="F21" s="170">
        <f t="shared" si="5"/>
        <v>18600000</v>
      </c>
      <c r="G21" s="170">
        <v>15810000</v>
      </c>
      <c r="H21" s="170">
        <v>2790000</v>
      </c>
      <c r="I21" s="170">
        <v>18600000</v>
      </c>
      <c r="J21" s="267">
        <f>G21/I21</f>
        <v>0.85</v>
      </c>
      <c r="K21" s="170">
        <f>G21</f>
        <v>15810000</v>
      </c>
      <c r="L21" s="275" t="s">
        <v>630</v>
      </c>
      <c r="M21" s="23" t="s">
        <v>584</v>
      </c>
      <c r="N21" s="21" t="s">
        <v>517</v>
      </c>
      <c r="O21" s="129">
        <v>20</v>
      </c>
      <c r="P21" s="129">
        <v>20</v>
      </c>
      <c r="Q21" s="323">
        <f>P21</f>
        <v>20</v>
      </c>
      <c r="R21" s="216" t="s">
        <v>330</v>
      </c>
      <c r="S21" s="21" t="s">
        <v>531</v>
      </c>
      <c r="T21" s="142">
        <v>22760</v>
      </c>
      <c r="U21" s="142">
        <v>22760</v>
      </c>
      <c r="V21" s="338">
        <f>U21</f>
        <v>22760</v>
      </c>
      <c r="W21" s="440"/>
    </row>
    <row r="22" spans="1:24" ht="72" customHeight="1" x14ac:dyDescent="0.25">
      <c r="A22" s="466"/>
      <c r="B22" s="90" t="s">
        <v>126</v>
      </c>
      <c r="C22" s="23" t="s">
        <v>127</v>
      </c>
      <c r="D22" s="168">
        <v>12665000</v>
      </c>
      <c r="E22" s="168">
        <f t="shared" ref="E22:E24" si="6">F22-D22</f>
        <v>2235000</v>
      </c>
      <c r="F22" s="168">
        <f t="shared" si="5"/>
        <v>14900000</v>
      </c>
      <c r="G22" s="169">
        <v>9394560</v>
      </c>
      <c r="H22" s="169">
        <f>I22-G22</f>
        <v>1657864</v>
      </c>
      <c r="I22" s="169">
        <v>11052424</v>
      </c>
      <c r="J22" s="258">
        <f>G22/I22</f>
        <v>0.84999996380884413</v>
      </c>
      <c r="K22" s="189">
        <f>G22</f>
        <v>9394560</v>
      </c>
      <c r="L22" s="276" t="s">
        <v>630</v>
      </c>
      <c r="M22" s="23" t="s">
        <v>584</v>
      </c>
      <c r="N22" s="23" t="s">
        <v>517</v>
      </c>
      <c r="O22" s="130">
        <v>5</v>
      </c>
      <c r="P22" s="131">
        <v>3</v>
      </c>
      <c r="Q22" s="322">
        <f>P22</f>
        <v>3</v>
      </c>
      <c r="R22" s="216" t="s">
        <v>330</v>
      </c>
      <c r="S22" s="23" t="s">
        <v>531</v>
      </c>
      <c r="T22" s="143">
        <v>5685</v>
      </c>
      <c r="U22" s="141">
        <f>ROUND(T22*I22/F22,0)</f>
        <v>4217</v>
      </c>
      <c r="V22" s="319">
        <f>U22</f>
        <v>4217</v>
      </c>
      <c r="W22" s="21" t="s">
        <v>751</v>
      </c>
    </row>
    <row r="23" spans="1:24" ht="86.25" customHeight="1" x14ac:dyDescent="0.25">
      <c r="A23" s="464" t="s">
        <v>633</v>
      </c>
      <c r="B23" s="90" t="s">
        <v>186</v>
      </c>
      <c r="C23" s="21" t="s">
        <v>187</v>
      </c>
      <c r="D23" s="167">
        <v>14964930</v>
      </c>
      <c r="E23" s="167">
        <f t="shared" si="6"/>
        <v>2640870</v>
      </c>
      <c r="F23" s="167">
        <f t="shared" si="5"/>
        <v>17605800</v>
      </c>
      <c r="G23" s="167">
        <v>14964930</v>
      </c>
      <c r="H23" s="167">
        <v>2640870</v>
      </c>
      <c r="I23" s="167">
        <v>17605800</v>
      </c>
      <c r="J23" s="268">
        <f t="shared" ref="J23:J24" si="7">G23/I23</f>
        <v>0.85</v>
      </c>
      <c r="K23" s="102">
        <f>G23-9464930</f>
        <v>5500000</v>
      </c>
      <c r="L23" s="102" t="s">
        <v>636</v>
      </c>
      <c r="M23" s="92" t="s">
        <v>344</v>
      </c>
      <c r="N23" s="21" t="s">
        <v>519</v>
      </c>
      <c r="O23" s="124">
        <v>2484</v>
      </c>
      <c r="P23" s="124">
        <v>2484</v>
      </c>
      <c r="Q23" s="371">
        <f>P23*K23/J23/I23</f>
        <v>912.93444072240902</v>
      </c>
      <c r="R23" s="219" t="s">
        <v>341</v>
      </c>
      <c r="S23" s="21" t="s">
        <v>526</v>
      </c>
      <c r="T23" s="142">
        <v>326119</v>
      </c>
      <c r="U23" s="142">
        <v>326119</v>
      </c>
      <c r="V23" s="372">
        <f>U23*K23/J23/I23</f>
        <v>119857.19278339425</v>
      </c>
      <c r="W23" s="21" t="s">
        <v>751</v>
      </c>
    </row>
    <row r="24" spans="1:24" ht="86.25" customHeight="1" x14ac:dyDescent="0.25">
      <c r="A24" s="465"/>
      <c r="B24" s="90" t="s">
        <v>194</v>
      </c>
      <c r="C24" s="21" t="s">
        <v>195</v>
      </c>
      <c r="D24" s="167">
        <v>765000</v>
      </c>
      <c r="E24" s="167">
        <f t="shared" si="6"/>
        <v>135000</v>
      </c>
      <c r="F24" s="167">
        <f t="shared" si="5"/>
        <v>900000</v>
      </c>
      <c r="G24" s="167">
        <v>765000</v>
      </c>
      <c r="H24" s="167">
        <v>135000</v>
      </c>
      <c r="I24" s="167">
        <v>900000</v>
      </c>
      <c r="J24" s="268">
        <f t="shared" si="7"/>
        <v>0.85</v>
      </c>
      <c r="K24" s="102">
        <f>G24-735070</f>
        <v>29930</v>
      </c>
      <c r="L24" s="102" t="s">
        <v>644</v>
      </c>
      <c r="M24" s="164" t="s">
        <v>474</v>
      </c>
      <c r="N24" s="21" t="s">
        <v>523</v>
      </c>
      <c r="O24" s="129">
        <v>70</v>
      </c>
      <c r="P24" s="129">
        <v>70</v>
      </c>
      <c r="Q24" s="371">
        <f>P24*K24/J24/I24</f>
        <v>2.7386928104575166</v>
      </c>
      <c r="R24" s="21"/>
      <c r="S24" s="21"/>
      <c r="T24" s="138"/>
      <c r="U24" s="138"/>
      <c r="V24" s="340"/>
      <c r="W24" s="21" t="s">
        <v>751</v>
      </c>
    </row>
    <row r="25" spans="1:24" ht="60" customHeight="1" x14ac:dyDescent="0.25">
      <c r="A25" s="466"/>
      <c r="B25" s="295" t="s">
        <v>184</v>
      </c>
      <c r="C25" s="384" t="s">
        <v>632</v>
      </c>
      <c r="D25" s="312"/>
      <c r="E25" s="312"/>
      <c r="F25" s="312"/>
      <c r="G25" s="312"/>
      <c r="H25" s="312"/>
      <c r="I25" s="312"/>
      <c r="J25" s="308">
        <v>0.85</v>
      </c>
      <c r="K25" s="385">
        <v>10200000</v>
      </c>
      <c r="L25" s="385" t="s">
        <v>661</v>
      </c>
      <c r="M25" s="337" t="s">
        <v>340</v>
      </c>
      <c r="N25" s="280" t="s">
        <v>657</v>
      </c>
      <c r="O25" s="311"/>
      <c r="P25" s="311"/>
      <c r="Q25" s="339">
        <v>17</v>
      </c>
      <c r="R25" s="337" t="s">
        <v>343</v>
      </c>
      <c r="S25" s="280" t="s">
        <v>526</v>
      </c>
      <c r="T25" s="324"/>
      <c r="U25" s="320"/>
      <c r="V25" s="306">
        <v>55000</v>
      </c>
      <c r="W25" s="434" t="s">
        <v>756</v>
      </c>
    </row>
    <row r="26" spans="1:24" ht="79.5" customHeight="1" x14ac:dyDescent="0.25">
      <c r="A26" s="464" t="s">
        <v>634</v>
      </c>
      <c r="B26" s="494" t="s">
        <v>118</v>
      </c>
      <c r="C26" s="496" t="s">
        <v>119</v>
      </c>
      <c r="D26" s="498">
        <v>53146911</v>
      </c>
      <c r="E26" s="498">
        <f>F26-D26</f>
        <v>9378867</v>
      </c>
      <c r="F26" s="498">
        <f t="shared" si="5"/>
        <v>62525778</v>
      </c>
      <c r="G26" s="492">
        <v>35340400</v>
      </c>
      <c r="H26" s="492">
        <f>I26-G26</f>
        <v>6236541</v>
      </c>
      <c r="I26" s="492">
        <f>ROUND(G26*100/85,0)</f>
        <v>41576941</v>
      </c>
      <c r="J26" s="475">
        <f>G26/I26</f>
        <v>0.85000000360776906</v>
      </c>
      <c r="K26" s="483">
        <f>G26</f>
        <v>35340400</v>
      </c>
      <c r="L26" s="467" t="s">
        <v>630</v>
      </c>
      <c r="M26" s="23" t="s">
        <v>584</v>
      </c>
      <c r="N26" s="23" t="s">
        <v>517</v>
      </c>
      <c r="O26" s="130">
        <v>30</v>
      </c>
      <c r="P26" s="131">
        <v>19</v>
      </c>
      <c r="Q26" s="322">
        <f>P26</f>
        <v>19</v>
      </c>
      <c r="R26" s="216" t="s">
        <v>330</v>
      </c>
      <c r="S26" s="23" t="s">
        <v>525</v>
      </c>
      <c r="T26" s="143">
        <v>34140</v>
      </c>
      <c r="U26" s="141">
        <f>ROUND(T26*I26/F26,0)</f>
        <v>22702</v>
      </c>
      <c r="V26" s="319">
        <f>U26</f>
        <v>22702</v>
      </c>
      <c r="W26" s="21" t="s">
        <v>751</v>
      </c>
    </row>
    <row r="27" spans="1:24" ht="48" customHeight="1" x14ac:dyDescent="0.25">
      <c r="A27" s="466"/>
      <c r="B27" s="495"/>
      <c r="C27" s="497"/>
      <c r="D27" s="499"/>
      <c r="E27" s="499"/>
      <c r="F27" s="499"/>
      <c r="G27" s="493"/>
      <c r="H27" s="493"/>
      <c r="I27" s="493"/>
      <c r="J27" s="476"/>
      <c r="K27" s="484"/>
      <c r="L27" s="467"/>
      <c r="M27" s="176" t="s">
        <v>682</v>
      </c>
      <c r="N27" s="23" t="s">
        <v>532</v>
      </c>
      <c r="O27" s="125">
        <v>6000</v>
      </c>
      <c r="P27" s="126">
        <f>I26*O27/F26</f>
        <v>3989.7407753966691</v>
      </c>
      <c r="Q27" s="321">
        <f>P27</f>
        <v>3989.7407753966691</v>
      </c>
      <c r="R27" s="23"/>
      <c r="S27" s="23"/>
      <c r="T27" s="139"/>
      <c r="U27" s="139"/>
      <c r="V27" s="139"/>
      <c r="W27" s="437"/>
    </row>
    <row r="28" spans="1:24" ht="41.25" customHeight="1" x14ac:dyDescent="0.25">
      <c r="A28" s="22" t="s">
        <v>441</v>
      </c>
      <c r="B28" s="24"/>
      <c r="C28" s="22" t="s">
        <v>404</v>
      </c>
      <c r="D28" s="171">
        <f>SUM(D29)</f>
        <v>25500000</v>
      </c>
      <c r="E28" s="171">
        <f t="shared" ref="E28:F28" si="8">SUM(E29)</f>
        <v>4500000</v>
      </c>
      <c r="F28" s="171">
        <f t="shared" si="8"/>
        <v>30000000</v>
      </c>
      <c r="G28" s="171">
        <f>SUM(G29)</f>
        <v>25500000</v>
      </c>
      <c r="H28" s="171">
        <f t="shared" ref="H28:K28" si="9">SUM(H29)</f>
        <v>4500000</v>
      </c>
      <c r="I28" s="171">
        <f t="shared" si="9"/>
        <v>30000000</v>
      </c>
      <c r="J28" s="171"/>
      <c r="K28" s="250">
        <f t="shared" si="9"/>
        <v>21250000</v>
      </c>
      <c r="L28" s="285" t="s">
        <v>631</v>
      </c>
      <c r="M28" s="386"/>
      <c r="N28" s="22"/>
      <c r="O28" s="128"/>
      <c r="P28" s="128"/>
      <c r="Q28" s="128"/>
      <c r="R28" s="22"/>
      <c r="S28" s="22"/>
      <c r="T28" s="137"/>
      <c r="U28" s="137"/>
      <c r="V28" s="137"/>
      <c r="W28" s="437"/>
    </row>
    <row r="29" spans="1:24" ht="76.5" customHeight="1" x14ac:dyDescent="0.25">
      <c r="A29" s="21" t="s">
        <v>441</v>
      </c>
      <c r="B29" s="90" t="s">
        <v>168</v>
      </c>
      <c r="C29" s="21" t="s">
        <v>169</v>
      </c>
      <c r="D29" s="167">
        <v>25500000</v>
      </c>
      <c r="E29" s="167">
        <f>F29-D29</f>
        <v>4500000</v>
      </c>
      <c r="F29" s="167">
        <f>ROUND(D29*100/85,0)</f>
        <v>30000000</v>
      </c>
      <c r="G29" s="167">
        <v>25500000</v>
      </c>
      <c r="H29" s="167">
        <v>4500000</v>
      </c>
      <c r="I29" s="167">
        <v>30000000</v>
      </c>
      <c r="J29" s="268">
        <f t="shared" ref="J29" si="10">G29/I29</f>
        <v>0.85</v>
      </c>
      <c r="K29" s="269">
        <f>G29-4250000</f>
        <v>21250000</v>
      </c>
      <c r="L29" s="254" t="s">
        <v>665</v>
      </c>
      <c r="M29" s="178" t="s">
        <v>336</v>
      </c>
      <c r="N29" s="21" t="s">
        <v>518</v>
      </c>
      <c r="O29" s="129">
        <v>74</v>
      </c>
      <c r="P29" s="129">
        <v>74</v>
      </c>
      <c r="Q29" s="373">
        <f>P29*K29/J29/I29</f>
        <v>61.666666666666664</v>
      </c>
      <c r="R29" s="178" t="s">
        <v>586</v>
      </c>
      <c r="S29" s="21" t="s">
        <v>518</v>
      </c>
      <c r="T29" s="138">
        <v>37</v>
      </c>
      <c r="U29" s="138">
        <v>37</v>
      </c>
      <c r="V29" s="374">
        <f>U29*K29/J29/I29</f>
        <v>30.833333333333332</v>
      </c>
      <c r="W29" s="21" t="s">
        <v>751</v>
      </c>
    </row>
    <row r="30" spans="1:24" ht="23.25" customHeight="1" x14ac:dyDescent="0.25">
      <c r="A30" s="22" t="s">
        <v>442</v>
      </c>
      <c r="B30" s="24"/>
      <c r="C30" s="22" t="s">
        <v>407</v>
      </c>
      <c r="D30" s="175">
        <f>SUM(D31:D31)</f>
        <v>0</v>
      </c>
      <c r="E30" s="175">
        <f>SUM(E31:E31)</f>
        <v>0</v>
      </c>
      <c r="F30" s="175">
        <f>SUM(F31:F31)</f>
        <v>0</v>
      </c>
      <c r="G30" s="175">
        <f t="shared" ref="G30:I30" si="11">SUM(G31:G31)</f>
        <v>0</v>
      </c>
      <c r="H30" s="175">
        <f t="shared" si="11"/>
        <v>0</v>
      </c>
      <c r="I30" s="175">
        <f t="shared" si="11"/>
        <v>0</v>
      </c>
      <c r="J30" s="171"/>
      <c r="K30" s="298">
        <v>0</v>
      </c>
      <c r="L30" s="171"/>
      <c r="M30" s="22"/>
      <c r="N30" s="22"/>
      <c r="O30" s="128"/>
      <c r="P30" s="128"/>
      <c r="Q30" s="128"/>
      <c r="R30" s="22"/>
      <c r="S30" s="22"/>
      <c r="T30" s="137"/>
      <c r="U30" s="137"/>
      <c r="V30" s="137"/>
      <c r="W30" s="441"/>
    </row>
    <row r="31" spans="1:24" x14ac:dyDescent="0.25">
      <c r="O31" s="132"/>
      <c r="P31" s="132"/>
      <c r="Q31" s="132"/>
      <c r="T31" s="144"/>
      <c r="U31" s="144"/>
      <c r="V31" s="144"/>
      <c r="W31" s="301"/>
    </row>
    <row r="33" spans="10:20" x14ac:dyDescent="0.25">
      <c r="P33" s="400" t="s">
        <v>730</v>
      </c>
    </row>
    <row r="34" spans="10:20" x14ac:dyDescent="0.25">
      <c r="J34" s="397"/>
      <c r="P34" s="118" t="s">
        <v>701</v>
      </c>
      <c r="Q34" s="132">
        <f>Q10+Q18</f>
        <v>5866</v>
      </c>
      <c r="R34" s="118" t="s">
        <v>714</v>
      </c>
      <c r="S34" s="132">
        <f>V8+V12+V15</f>
        <v>1780</v>
      </c>
    </row>
    <row r="35" spans="10:20" x14ac:dyDescent="0.25">
      <c r="P35" s="118" t="s">
        <v>702</v>
      </c>
      <c r="Q35" s="132">
        <f>Q8+Q11+Q14</f>
        <v>764</v>
      </c>
      <c r="R35" s="118" t="s">
        <v>715</v>
      </c>
      <c r="S35" s="132">
        <f>V10+V18</f>
        <v>1366.95</v>
      </c>
    </row>
    <row r="36" spans="10:20" x14ac:dyDescent="0.25">
      <c r="P36" s="118" t="s">
        <v>703</v>
      </c>
      <c r="Q36" s="132">
        <f>Q9+Q12</f>
        <v>464</v>
      </c>
      <c r="R36" s="118" t="s">
        <v>716</v>
      </c>
      <c r="S36" s="132">
        <f>V14</f>
        <v>75</v>
      </c>
    </row>
    <row r="37" spans="10:20" x14ac:dyDescent="0.25">
      <c r="P37" s="118" t="s">
        <v>704</v>
      </c>
      <c r="Q37" s="132">
        <f>Q15</f>
        <v>300</v>
      </c>
      <c r="R37" s="118" t="s">
        <v>717</v>
      </c>
      <c r="S37" s="132">
        <f>V20+V21+V22+V26</f>
        <v>66814</v>
      </c>
    </row>
    <row r="38" spans="10:20" x14ac:dyDescent="0.25">
      <c r="O38" s="389" t="s">
        <v>706</v>
      </c>
      <c r="P38" s="389" t="s">
        <v>705</v>
      </c>
      <c r="Q38" s="390">
        <f>Q13</f>
        <v>40</v>
      </c>
      <c r="R38" s="118" t="s">
        <v>718</v>
      </c>
      <c r="S38" s="132">
        <f>V29</f>
        <v>30.833333333333332</v>
      </c>
    </row>
    <row r="39" spans="10:20" x14ac:dyDescent="0.25">
      <c r="P39" s="118" t="s">
        <v>707</v>
      </c>
      <c r="Q39" s="132">
        <f>Q20+Q21+Q22+Q26</f>
        <v>50</v>
      </c>
      <c r="R39" s="118" t="s">
        <v>719</v>
      </c>
      <c r="S39" s="132">
        <f>V23</f>
        <v>119857.19278339425</v>
      </c>
    </row>
    <row r="40" spans="10:20" x14ac:dyDescent="0.25">
      <c r="P40" s="118" t="s">
        <v>708</v>
      </c>
      <c r="Q40" s="132">
        <f>Q29</f>
        <v>61.666666666666664</v>
      </c>
      <c r="R40" s="118" t="s">
        <v>720</v>
      </c>
      <c r="S40" s="132">
        <f>V17</f>
        <v>1104.1412252443533</v>
      </c>
    </row>
    <row r="41" spans="10:20" x14ac:dyDescent="0.25">
      <c r="P41" s="118" t="s">
        <v>709</v>
      </c>
      <c r="Q41" s="132">
        <f>Q23</f>
        <v>912.93444072240902</v>
      </c>
      <c r="R41" s="389" t="s">
        <v>721</v>
      </c>
      <c r="S41" s="390">
        <f>V11</f>
        <v>40</v>
      </c>
      <c r="T41" s="401" t="s">
        <v>706</v>
      </c>
    </row>
    <row r="42" spans="10:20" x14ac:dyDescent="0.25">
      <c r="P42" s="118" t="s">
        <v>710</v>
      </c>
      <c r="Q42" s="132">
        <f>Q17</f>
        <v>5449.5709772564442</v>
      </c>
      <c r="R42" s="389" t="s">
        <v>722</v>
      </c>
      <c r="S42" s="390">
        <f>V25</f>
        <v>55000</v>
      </c>
      <c r="T42" s="401" t="s">
        <v>706</v>
      </c>
    </row>
    <row r="43" spans="10:20" x14ac:dyDescent="0.25">
      <c r="P43" s="118" t="s">
        <v>711</v>
      </c>
      <c r="Q43" s="132">
        <f>Q27</f>
        <v>3989.7407753966691</v>
      </c>
      <c r="R43" s="118"/>
    </row>
    <row r="44" spans="10:20" x14ac:dyDescent="0.25">
      <c r="P44" s="118" t="s">
        <v>712</v>
      </c>
      <c r="Q44" s="132">
        <f>Q24</f>
        <v>2.7386928104575166</v>
      </c>
      <c r="R44" s="118"/>
    </row>
    <row r="45" spans="10:20" x14ac:dyDescent="0.25">
      <c r="O45" s="389" t="s">
        <v>706</v>
      </c>
      <c r="P45" s="389" t="s">
        <v>713</v>
      </c>
      <c r="Q45" s="390">
        <f>Q25</f>
        <v>17</v>
      </c>
      <c r="R45" s="118"/>
    </row>
    <row r="46" spans="10:20" x14ac:dyDescent="0.25">
      <c r="R46" s="118"/>
    </row>
    <row r="47" spans="10:20" x14ac:dyDescent="0.25">
      <c r="R47" s="118"/>
    </row>
  </sheetData>
  <autoFilter ref="A2:T31" xr:uid="{2264FD47-DFE6-4199-B22B-58D5A3B181F5}"/>
  <mergeCells count="43">
    <mergeCell ref="C8:C10"/>
    <mergeCell ref="C14:C15"/>
    <mergeCell ref="C11:C13"/>
    <mergeCell ref="B8:B10"/>
    <mergeCell ref="A14:A15"/>
    <mergeCell ref="B14:B15"/>
    <mergeCell ref="A8:A13"/>
    <mergeCell ref="B11:B13"/>
    <mergeCell ref="I14:I15"/>
    <mergeCell ref="D8:D10"/>
    <mergeCell ref="E8:E10"/>
    <mergeCell ref="F8:F10"/>
    <mergeCell ref="G8:G10"/>
    <mergeCell ref="H8:H10"/>
    <mergeCell ref="I8:I10"/>
    <mergeCell ref="D14:D15"/>
    <mergeCell ref="E14:E15"/>
    <mergeCell ref="F14:F15"/>
    <mergeCell ref="G14:G15"/>
    <mergeCell ref="H14:H15"/>
    <mergeCell ref="I26:I27"/>
    <mergeCell ref="A26:A27"/>
    <mergeCell ref="B26:B27"/>
    <mergeCell ref="C26:C27"/>
    <mergeCell ref="D26:D27"/>
    <mergeCell ref="E26:E27"/>
    <mergeCell ref="F26:F27"/>
    <mergeCell ref="A23:A25"/>
    <mergeCell ref="L26:L27"/>
    <mergeCell ref="K14:K15"/>
    <mergeCell ref="L14:L15"/>
    <mergeCell ref="J8:J10"/>
    <mergeCell ref="J14:J15"/>
    <mergeCell ref="J26:J27"/>
    <mergeCell ref="K8:K10"/>
    <mergeCell ref="L8:L10"/>
    <mergeCell ref="K26:K27"/>
    <mergeCell ref="K11:K13"/>
    <mergeCell ref="L11:L13"/>
    <mergeCell ref="J11:J13"/>
    <mergeCell ref="A20:A22"/>
    <mergeCell ref="G26:G27"/>
    <mergeCell ref="H26:H27"/>
  </mergeCells>
  <phoneticPr fontId="10" type="noConversion"/>
  <pageMargins left="0.25" right="0.25" top="0.75" bottom="0.75" header="0.3" footer="0.3"/>
  <pageSetup paperSize="8"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2ED17-C9AC-488B-BA58-BDE56A47D4CA}">
  <sheetPr>
    <tabColor rgb="FF00B0F0"/>
    <pageSetUpPr fitToPage="1"/>
  </sheetPr>
  <dimension ref="A1:Z62"/>
  <sheetViews>
    <sheetView view="pageBreakPreview" topLeftCell="J28" zoomScale="80" zoomScaleNormal="90" zoomScaleSheetLayoutView="80" workbookViewId="0">
      <selection activeCell="W2" sqref="W2"/>
    </sheetView>
  </sheetViews>
  <sheetFormatPr defaultRowHeight="15" x14ac:dyDescent="0.25"/>
  <cols>
    <col min="1" max="1" width="41.5703125" style="14" customWidth="1"/>
    <col min="2" max="2" width="16.140625" style="13" customWidth="1"/>
    <col min="3" max="3" width="27.7109375" style="14" customWidth="1"/>
    <col min="4" max="4" width="18.140625" style="15" customWidth="1"/>
    <col min="5" max="7" width="19" style="15" customWidth="1"/>
    <col min="8" max="8" width="17.28515625" style="15" customWidth="1"/>
    <col min="9" max="9" width="19" style="15" customWidth="1"/>
    <col min="10" max="10" width="16.7109375" style="15" customWidth="1"/>
    <col min="11" max="11" width="21.7109375" style="15" customWidth="1"/>
    <col min="12" max="12" width="35.5703125" style="15" customWidth="1"/>
    <col min="13" max="13" width="32.140625" style="15" customWidth="1"/>
    <col min="14" max="14" width="15.42578125" style="15" customWidth="1"/>
    <col min="15" max="15" width="18.28515625" style="15" customWidth="1"/>
    <col min="16" max="17" width="16.28515625" style="15" customWidth="1"/>
    <col min="18" max="18" width="33.140625" style="15" customWidth="1"/>
    <col min="19" max="19" width="21.42578125" style="15" customWidth="1"/>
    <col min="20" max="20" width="17.28515625" style="15" customWidth="1"/>
    <col min="21" max="22" width="17" style="15" customWidth="1"/>
    <col min="23" max="23" width="43.28515625" style="291" customWidth="1"/>
    <col min="24" max="24" width="32" style="118" customWidth="1"/>
    <col min="25" max="25" width="20.140625" style="14" bestFit="1" customWidth="1"/>
    <col min="26" max="26" width="15" style="14" customWidth="1"/>
    <col min="27" max="16384" width="9.140625" style="14"/>
  </cols>
  <sheetData>
    <row r="1" spans="1:26" ht="24.75" customHeight="1" x14ac:dyDescent="0.25">
      <c r="G1" s="330" t="s">
        <v>649</v>
      </c>
      <c r="H1" s="331"/>
      <c r="I1" s="332"/>
      <c r="K1" s="333" t="s">
        <v>650</v>
      </c>
      <c r="L1" s="334"/>
    </row>
    <row r="2" spans="1:26" s="42" customFormat="1" ht="45" x14ac:dyDescent="0.25">
      <c r="A2" s="34" t="s">
        <v>377</v>
      </c>
      <c r="B2" s="87" t="s">
        <v>378</v>
      </c>
      <c r="C2" s="34" t="s">
        <v>379</v>
      </c>
      <c r="D2" s="38" t="s">
        <v>411</v>
      </c>
      <c r="E2" s="38" t="s">
        <v>412</v>
      </c>
      <c r="F2" s="38" t="s">
        <v>413</v>
      </c>
      <c r="G2" s="39" t="s">
        <v>507</v>
      </c>
      <c r="H2" s="39" t="s">
        <v>508</v>
      </c>
      <c r="I2" s="39" t="s">
        <v>509</v>
      </c>
      <c r="J2" s="39" t="s">
        <v>626</v>
      </c>
      <c r="K2" s="257" t="s">
        <v>627</v>
      </c>
      <c r="L2" s="257" t="s">
        <v>628</v>
      </c>
      <c r="M2" s="34" t="s">
        <v>385</v>
      </c>
      <c r="N2" s="40" t="s">
        <v>514</v>
      </c>
      <c r="O2" s="34">
        <v>2029</v>
      </c>
      <c r="P2" s="40" t="s">
        <v>646</v>
      </c>
      <c r="Q2" s="257" t="s">
        <v>647</v>
      </c>
      <c r="R2" s="34" t="s">
        <v>386</v>
      </c>
      <c r="S2" s="40" t="s">
        <v>514</v>
      </c>
      <c r="T2" s="34">
        <v>2029</v>
      </c>
      <c r="U2" s="40" t="s">
        <v>646</v>
      </c>
      <c r="V2" s="257" t="s">
        <v>647</v>
      </c>
      <c r="W2" s="208" t="s">
        <v>750</v>
      </c>
      <c r="X2" s="113"/>
    </row>
    <row r="3" spans="1:26" s="37" customFormat="1" ht="20.25" customHeight="1" x14ac:dyDescent="0.25">
      <c r="A3" s="31" t="s">
        <v>572</v>
      </c>
      <c r="B3" s="87"/>
      <c r="C3" s="31" t="s">
        <v>410</v>
      </c>
      <c r="D3" s="173">
        <v>2139715532</v>
      </c>
      <c r="E3" s="173">
        <v>391022526</v>
      </c>
      <c r="F3" s="173">
        <v>2530738058</v>
      </c>
      <c r="G3" s="173">
        <v>2139715532</v>
      </c>
      <c r="H3" s="173">
        <v>391022526</v>
      </c>
      <c r="I3" s="173">
        <v>2530738058</v>
      </c>
      <c r="J3" s="173"/>
      <c r="K3" s="173"/>
      <c r="L3" s="173"/>
      <c r="M3" s="31"/>
      <c r="N3" s="31"/>
      <c r="O3" s="31"/>
      <c r="P3" s="31"/>
      <c r="Q3" s="31"/>
      <c r="R3" s="31"/>
      <c r="S3" s="31"/>
      <c r="T3" s="233"/>
      <c r="U3" s="173"/>
      <c r="V3" s="173"/>
      <c r="W3" s="442"/>
      <c r="X3" s="116"/>
    </row>
    <row r="4" spans="1:26" s="37" customFormat="1" ht="24" customHeight="1" x14ac:dyDescent="0.25">
      <c r="A4" s="31" t="s">
        <v>573</v>
      </c>
      <c r="B4" s="87"/>
      <c r="C4" s="31" t="s">
        <v>416</v>
      </c>
      <c r="D4" s="173">
        <v>411173756</v>
      </c>
      <c r="E4" s="173">
        <v>72560075</v>
      </c>
      <c r="F4" s="173">
        <v>483733831</v>
      </c>
      <c r="G4" s="173">
        <v>374861821</v>
      </c>
      <c r="H4" s="173">
        <v>66152087</v>
      </c>
      <c r="I4" s="173">
        <v>441013908</v>
      </c>
      <c r="J4" s="173"/>
      <c r="K4" s="173"/>
      <c r="L4" s="173"/>
      <c r="M4" s="105" t="s">
        <v>604</v>
      </c>
      <c r="N4" s="35"/>
      <c r="O4" s="35"/>
      <c r="P4" s="35"/>
      <c r="Q4" s="35"/>
      <c r="R4" s="35"/>
      <c r="S4" s="35"/>
      <c r="T4" s="236"/>
      <c r="U4" s="236"/>
      <c r="V4" s="236"/>
      <c r="W4" s="443"/>
      <c r="X4" s="116"/>
    </row>
    <row r="5" spans="1:26" x14ac:dyDescent="0.25">
      <c r="A5" s="22" t="s">
        <v>414</v>
      </c>
      <c r="B5" s="24"/>
      <c r="C5" s="22" t="s">
        <v>415</v>
      </c>
      <c r="D5" s="171">
        <f t="shared" ref="D5:I5" si="0">D7+D16+D19+D27+D29</f>
        <v>411173756</v>
      </c>
      <c r="E5" s="171">
        <f t="shared" si="0"/>
        <v>72560075</v>
      </c>
      <c r="F5" s="171">
        <f t="shared" si="0"/>
        <v>483733831</v>
      </c>
      <c r="G5" s="172">
        <f t="shared" si="0"/>
        <v>374861821</v>
      </c>
      <c r="H5" s="172">
        <f t="shared" si="0"/>
        <v>66152087</v>
      </c>
      <c r="I5" s="172">
        <f t="shared" si="0"/>
        <v>441013908</v>
      </c>
      <c r="J5" s="172"/>
      <c r="K5" s="251">
        <f>K7+K16+K19+K27+K29+K30</f>
        <v>374861821</v>
      </c>
      <c r="L5" s="285" t="s">
        <v>630</v>
      </c>
      <c r="M5" s="114">
        <f>D5-G5</f>
        <v>36311935</v>
      </c>
      <c r="N5" s="27"/>
      <c r="O5" s="27"/>
      <c r="P5" s="27"/>
      <c r="Q5" s="27"/>
      <c r="R5" s="27"/>
      <c r="S5" s="27"/>
      <c r="T5" s="237"/>
      <c r="U5" s="237"/>
      <c r="V5" s="237"/>
      <c r="W5" s="438"/>
      <c r="X5" s="117"/>
    </row>
    <row r="6" spans="1:26" x14ac:dyDescent="0.25">
      <c r="A6" s="21" t="s">
        <v>401</v>
      </c>
      <c r="B6" s="19"/>
      <c r="C6" s="21"/>
      <c r="D6" s="174">
        <f>D4-D5</f>
        <v>0</v>
      </c>
      <c r="E6" s="174">
        <f t="shared" ref="E6:I6" si="1">E4-E5</f>
        <v>0</v>
      </c>
      <c r="F6" s="174">
        <f t="shared" si="1"/>
        <v>0</v>
      </c>
      <c r="G6" s="174">
        <f t="shared" si="1"/>
        <v>0</v>
      </c>
      <c r="H6" s="174">
        <f t="shared" si="1"/>
        <v>0</v>
      </c>
      <c r="I6" s="174">
        <f t="shared" si="1"/>
        <v>0</v>
      </c>
      <c r="J6" s="174"/>
      <c r="K6" s="174"/>
      <c r="L6" s="174"/>
      <c r="M6" s="25"/>
      <c r="N6" s="25"/>
      <c r="O6" s="25"/>
      <c r="P6" s="25"/>
      <c r="Q6" s="25"/>
      <c r="R6" s="25"/>
      <c r="S6" s="25"/>
      <c r="T6" s="142"/>
      <c r="U6" s="142"/>
      <c r="V6" s="142"/>
      <c r="W6" s="438"/>
    </row>
    <row r="7" spans="1:26" ht="30" x14ac:dyDescent="0.25">
      <c r="A7" s="22" t="s">
        <v>439</v>
      </c>
      <c r="B7" s="24"/>
      <c r="C7" s="22" t="s">
        <v>402</v>
      </c>
      <c r="D7" s="171">
        <f>SUM(D8:D15)</f>
        <v>222921525</v>
      </c>
      <c r="E7" s="171">
        <f>SUM(E8:E15)</f>
        <v>39339093</v>
      </c>
      <c r="F7" s="171">
        <f>SUM(F8:F15)</f>
        <v>262260618</v>
      </c>
      <c r="G7" s="171">
        <f>SUM(G8:G15)</f>
        <v>222921525</v>
      </c>
      <c r="H7" s="171">
        <f>I7-G7</f>
        <v>39339093</v>
      </c>
      <c r="I7" s="171">
        <f>SUM(I8:I15)</f>
        <v>262260618</v>
      </c>
      <c r="J7" s="171"/>
      <c r="K7" s="274">
        <f>SUM(K8:K14)</f>
        <v>222921525</v>
      </c>
      <c r="L7" s="281" t="s">
        <v>630</v>
      </c>
      <c r="M7" s="27"/>
      <c r="N7" s="27"/>
      <c r="O7" s="27"/>
      <c r="P7" s="27"/>
      <c r="Q7" s="27"/>
      <c r="R7" s="27"/>
      <c r="S7" s="27"/>
      <c r="T7" s="237"/>
      <c r="U7" s="237"/>
      <c r="V7" s="237"/>
      <c r="W7" s="438"/>
    </row>
    <row r="8" spans="1:26" ht="54" customHeight="1" x14ac:dyDescent="0.25">
      <c r="A8" s="512" t="s">
        <v>547</v>
      </c>
      <c r="B8" s="494" t="s">
        <v>64</v>
      </c>
      <c r="C8" s="464" t="s">
        <v>65</v>
      </c>
      <c r="D8" s="500">
        <v>205071525</v>
      </c>
      <c r="E8" s="500">
        <v>36189093</v>
      </c>
      <c r="F8" s="500">
        <v>241260618</v>
      </c>
      <c r="G8" s="515">
        <v>205071525</v>
      </c>
      <c r="H8" s="500">
        <v>36189093</v>
      </c>
      <c r="I8" s="500">
        <v>241260618</v>
      </c>
      <c r="J8" s="472">
        <f>G8/I8</f>
        <v>0.84999999875653143</v>
      </c>
      <c r="K8" s="521">
        <f>G8-1827500</f>
        <v>203244025</v>
      </c>
      <c r="L8" s="524" t="s">
        <v>637</v>
      </c>
      <c r="M8" s="150" t="s">
        <v>305</v>
      </c>
      <c r="N8" s="25" t="s">
        <v>516</v>
      </c>
      <c r="O8" s="45">
        <v>461</v>
      </c>
      <c r="P8" s="45">
        <v>461</v>
      </c>
      <c r="Q8" s="375">
        <f>P8*K8/J8/I8</f>
        <v>456.89178702406389</v>
      </c>
      <c r="R8" s="83" t="s">
        <v>306</v>
      </c>
      <c r="S8" s="25" t="s">
        <v>530</v>
      </c>
      <c r="T8" s="142">
        <v>1584</v>
      </c>
      <c r="U8" s="142">
        <v>1584</v>
      </c>
      <c r="V8" s="372">
        <f>U8*K8/J8/I8</f>
        <v>1569.8841445685841</v>
      </c>
      <c r="W8" s="21" t="s">
        <v>751</v>
      </c>
      <c r="Y8" s="18"/>
    </row>
    <row r="9" spans="1:26" ht="51.75" customHeight="1" x14ac:dyDescent="0.25">
      <c r="A9" s="513"/>
      <c r="B9" s="506"/>
      <c r="C9" s="465"/>
      <c r="D9" s="502"/>
      <c r="E9" s="502"/>
      <c r="F9" s="502"/>
      <c r="G9" s="516"/>
      <c r="H9" s="502"/>
      <c r="I9" s="502"/>
      <c r="J9" s="473"/>
      <c r="K9" s="522"/>
      <c r="L9" s="525"/>
      <c r="M9" s="154" t="s">
        <v>494</v>
      </c>
      <c r="N9" s="25" t="s">
        <v>516</v>
      </c>
      <c r="O9" s="45">
        <v>461</v>
      </c>
      <c r="P9" s="45">
        <v>461</v>
      </c>
      <c r="Q9" s="375">
        <f>P9*K8/J8/I8</f>
        <v>456.89178702406389</v>
      </c>
      <c r="R9" s="25"/>
      <c r="S9" s="25"/>
      <c r="T9" s="142"/>
      <c r="U9" s="142"/>
      <c r="V9" s="372"/>
      <c r="W9" s="21" t="s">
        <v>751</v>
      </c>
      <c r="Y9" s="18"/>
    </row>
    <row r="10" spans="1:26" ht="75" customHeight="1" x14ac:dyDescent="0.25">
      <c r="A10" s="513"/>
      <c r="B10" s="495"/>
      <c r="C10" s="466"/>
      <c r="D10" s="501"/>
      <c r="E10" s="501"/>
      <c r="F10" s="501"/>
      <c r="G10" s="517"/>
      <c r="H10" s="501"/>
      <c r="I10" s="501"/>
      <c r="J10" s="474"/>
      <c r="K10" s="523"/>
      <c r="L10" s="526"/>
      <c r="M10" s="186" t="s">
        <v>680</v>
      </c>
      <c r="N10" s="25" t="s">
        <v>515</v>
      </c>
      <c r="O10" s="45">
        <v>138</v>
      </c>
      <c r="P10" s="45">
        <v>138</v>
      </c>
      <c r="Q10" s="375">
        <f>P10*K8/J8/I8</f>
        <v>136.77020956468724</v>
      </c>
      <c r="R10" s="29" t="s">
        <v>681</v>
      </c>
      <c r="S10" s="25" t="s">
        <v>515</v>
      </c>
      <c r="T10" s="142">
        <v>138</v>
      </c>
      <c r="U10" s="142">
        <v>138</v>
      </c>
      <c r="V10" s="372">
        <f>U10*K8/J8/I8</f>
        <v>136.77020956468724</v>
      </c>
      <c r="W10" s="21" t="s">
        <v>751</v>
      </c>
      <c r="Y10" s="15"/>
      <c r="Z10" s="15"/>
    </row>
    <row r="11" spans="1:26" ht="63" customHeight="1" x14ac:dyDescent="0.25">
      <c r="A11" s="513"/>
      <c r="B11" s="509" t="s">
        <v>72</v>
      </c>
      <c r="C11" s="518" t="s">
        <v>497</v>
      </c>
      <c r="D11" s="315"/>
      <c r="E11" s="315"/>
      <c r="F11" s="315"/>
      <c r="G11" s="316"/>
      <c r="H11" s="315"/>
      <c r="I11" s="315"/>
      <c r="J11" s="489">
        <v>0.85</v>
      </c>
      <c r="K11" s="534">
        <v>1827500</v>
      </c>
      <c r="L11" s="537" t="s">
        <v>677</v>
      </c>
      <c r="M11" s="302" t="s">
        <v>305</v>
      </c>
      <c r="N11" s="286" t="s">
        <v>516</v>
      </c>
      <c r="O11" s="311"/>
      <c r="P11" s="311"/>
      <c r="Q11" s="303">
        <v>17</v>
      </c>
      <c r="R11" s="379" t="s">
        <v>323</v>
      </c>
      <c r="S11" s="286" t="s">
        <v>516</v>
      </c>
      <c r="T11" s="314"/>
      <c r="U11" s="314"/>
      <c r="V11" s="306">
        <v>17</v>
      </c>
      <c r="W11" s="434" t="s">
        <v>754</v>
      </c>
      <c r="X11" s="121"/>
      <c r="Y11" s="15"/>
      <c r="Z11" s="15"/>
    </row>
    <row r="12" spans="1:26" ht="48" customHeight="1" x14ac:dyDescent="0.25">
      <c r="A12" s="513"/>
      <c r="B12" s="510"/>
      <c r="C12" s="519"/>
      <c r="D12" s="315"/>
      <c r="E12" s="315"/>
      <c r="F12" s="315"/>
      <c r="G12" s="316"/>
      <c r="H12" s="315"/>
      <c r="I12" s="315"/>
      <c r="J12" s="490"/>
      <c r="K12" s="535"/>
      <c r="L12" s="538"/>
      <c r="M12" s="380" t="s">
        <v>494</v>
      </c>
      <c r="N12" s="286" t="s">
        <v>516</v>
      </c>
      <c r="O12" s="311"/>
      <c r="P12" s="311"/>
      <c r="Q12" s="303">
        <v>17</v>
      </c>
      <c r="R12" s="305" t="s">
        <v>306</v>
      </c>
      <c r="S12" s="286" t="s">
        <v>530</v>
      </c>
      <c r="T12" s="314"/>
      <c r="U12" s="314"/>
      <c r="V12" s="306">
        <v>17</v>
      </c>
      <c r="W12" s="434" t="s">
        <v>755</v>
      </c>
      <c r="Y12" s="15"/>
      <c r="Z12" s="15"/>
    </row>
    <row r="13" spans="1:26" ht="45.75" customHeight="1" x14ac:dyDescent="0.25">
      <c r="A13" s="514"/>
      <c r="B13" s="511"/>
      <c r="C13" s="520"/>
      <c r="D13" s="315"/>
      <c r="E13" s="315"/>
      <c r="F13" s="315"/>
      <c r="G13" s="316"/>
      <c r="H13" s="315"/>
      <c r="I13" s="315"/>
      <c r="J13" s="491"/>
      <c r="K13" s="536"/>
      <c r="L13" s="539"/>
      <c r="M13" s="304" t="s">
        <v>495</v>
      </c>
      <c r="N13" s="286" t="s">
        <v>516</v>
      </c>
      <c r="O13" s="311"/>
      <c r="P13" s="311"/>
      <c r="Q13" s="303">
        <v>17</v>
      </c>
      <c r="R13" s="25"/>
      <c r="S13" s="25"/>
      <c r="T13" s="25"/>
      <c r="U13" s="25"/>
      <c r="V13" s="25"/>
      <c r="W13" s="444"/>
      <c r="X13" s="121"/>
      <c r="Y13" s="15"/>
      <c r="Z13" s="15"/>
    </row>
    <row r="14" spans="1:26" ht="81" customHeight="1" x14ac:dyDescent="0.25">
      <c r="A14" s="464" t="s">
        <v>666</v>
      </c>
      <c r="B14" s="494" t="s">
        <v>62</v>
      </c>
      <c r="C14" s="464" t="s">
        <v>63</v>
      </c>
      <c r="D14" s="500">
        <v>17850000</v>
      </c>
      <c r="E14" s="500">
        <f t="shared" ref="E14" si="2">F14-D14</f>
        <v>3150000</v>
      </c>
      <c r="F14" s="500">
        <f t="shared" ref="F14" si="3">ROUND(D14*100/85,0)</f>
        <v>21000000</v>
      </c>
      <c r="G14" s="500">
        <v>17850000</v>
      </c>
      <c r="H14" s="500">
        <v>3150000</v>
      </c>
      <c r="I14" s="500">
        <v>21000000</v>
      </c>
      <c r="J14" s="472">
        <f>G14/I14</f>
        <v>0.85</v>
      </c>
      <c r="K14" s="531">
        <f>G14</f>
        <v>17850000</v>
      </c>
      <c r="L14" s="533" t="s">
        <v>630</v>
      </c>
      <c r="M14" s="150" t="s">
        <v>305</v>
      </c>
      <c r="N14" s="25" t="s">
        <v>516</v>
      </c>
      <c r="O14" s="45">
        <v>300</v>
      </c>
      <c r="P14" s="45">
        <v>300</v>
      </c>
      <c r="Q14" s="45">
        <f>P14</f>
        <v>300</v>
      </c>
      <c r="R14" s="91" t="s">
        <v>613</v>
      </c>
      <c r="S14" s="25" t="s">
        <v>516</v>
      </c>
      <c r="T14" s="142">
        <v>75</v>
      </c>
      <c r="U14" s="142">
        <v>75</v>
      </c>
      <c r="V14" s="142">
        <f>U14</f>
        <v>75</v>
      </c>
      <c r="W14" s="438"/>
    </row>
    <row r="15" spans="1:26" ht="67.5" customHeight="1" x14ac:dyDescent="0.25">
      <c r="A15" s="466"/>
      <c r="B15" s="495"/>
      <c r="C15" s="466"/>
      <c r="D15" s="501"/>
      <c r="E15" s="501"/>
      <c r="F15" s="501"/>
      <c r="G15" s="501"/>
      <c r="H15" s="501"/>
      <c r="I15" s="501"/>
      <c r="J15" s="474"/>
      <c r="K15" s="532"/>
      <c r="L15" s="533"/>
      <c r="M15" s="158" t="s">
        <v>310</v>
      </c>
      <c r="N15" s="25" t="s">
        <v>516</v>
      </c>
      <c r="O15" s="45">
        <v>300</v>
      </c>
      <c r="P15" s="45">
        <v>300</v>
      </c>
      <c r="Q15" s="45">
        <f>P15</f>
        <v>300</v>
      </c>
      <c r="R15" s="83" t="s">
        <v>306</v>
      </c>
      <c r="S15" s="25" t="s">
        <v>530</v>
      </c>
      <c r="T15" s="142">
        <v>150</v>
      </c>
      <c r="U15" s="142">
        <v>150</v>
      </c>
      <c r="V15" s="142">
        <f>U15</f>
        <v>150</v>
      </c>
      <c r="W15" s="438"/>
    </row>
    <row r="16" spans="1:26" ht="102" customHeight="1" x14ac:dyDescent="0.25">
      <c r="A16" s="22" t="s">
        <v>468</v>
      </c>
      <c r="B16" s="24"/>
      <c r="C16" s="22" t="s">
        <v>448</v>
      </c>
      <c r="D16" s="171">
        <f>SUM(D17:D18)</f>
        <v>52811860</v>
      </c>
      <c r="E16" s="171">
        <f>SUM(E17:E18)</f>
        <v>9319740</v>
      </c>
      <c r="F16" s="171">
        <f>SUM(F17:F18)</f>
        <v>62131600</v>
      </c>
      <c r="G16" s="172">
        <f>SUM(G17:G18)</f>
        <v>41128450</v>
      </c>
      <c r="H16" s="172">
        <f>I16-G16</f>
        <v>7257962</v>
      </c>
      <c r="I16" s="172">
        <f>SUM(I17:I18)</f>
        <v>48386412</v>
      </c>
      <c r="J16" s="172"/>
      <c r="K16" s="251">
        <f>K17+K18</f>
        <v>40128450</v>
      </c>
      <c r="L16" s="285" t="s">
        <v>631</v>
      </c>
      <c r="M16" s="27"/>
      <c r="N16" s="27"/>
      <c r="O16" s="27"/>
      <c r="P16" s="27"/>
      <c r="Q16" s="27"/>
      <c r="R16" s="27"/>
      <c r="S16" s="27"/>
      <c r="T16" s="237"/>
      <c r="U16" s="237"/>
      <c r="V16" s="237"/>
      <c r="W16" s="438"/>
      <c r="X16" s="119"/>
    </row>
    <row r="17" spans="1:26" ht="119.25" customHeight="1" x14ac:dyDescent="0.25">
      <c r="A17" s="21" t="s">
        <v>477</v>
      </c>
      <c r="B17" s="90">
        <v>139</v>
      </c>
      <c r="C17" s="23" t="s">
        <v>261</v>
      </c>
      <c r="D17" s="168">
        <v>16253615</v>
      </c>
      <c r="E17" s="168">
        <f t="shared" ref="E17" si="4">F17-D17</f>
        <v>2868285</v>
      </c>
      <c r="F17" s="168">
        <f t="shared" ref="F17" si="5">ROUND(D17*100/85,0)</f>
        <v>19121900</v>
      </c>
      <c r="G17" s="169">
        <v>10053942</v>
      </c>
      <c r="H17" s="169">
        <f>I17-G17</f>
        <v>1774225</v>
      </c>
      <c r="I17" s="169">
        <v>11828167</v>
      </c>
      <c r="J17" s="258">
        <f>G17/I17</f>
        <v>0.85000000422719768</v>
      </c>
      <c r="K17" s="270">
        <f>G17-1000000</f>
        <v>9053942</v>
      </c>
      <c r="L17" s="271" t="s">
        <v>679</v>
      </c>
      <c r="M17" s="161" t="s">
        <v>588</v>
      </c>
      <c r="N17" s="29" t="s">
        <v>520</v>
      </c>
      <c r="O17" s="111">
        <v>8810</v>
      </c>
      <c r="P17" s="33">
        <f>O17*I17/F17</f>
        <v>5449.5709772564442</v>
      </c>
      <c r="Q17" s="376">
        <f>P17*K17/J17/I17</f>
        <v>4907.537715352164</v>
      </c>
      <c r="R17" s="214" t="s">
        <v>587</v>
      </c>
      <c r="S17" s="29" t="s">
        <v>526</v>
      </c>
      <c r="T17" s="143">
        <v>1785</v>
      </c>
      <c r="U17" s="141">
        <f>ROUND(T17*I17/F17,0)</f>
        <v>1104</v>
      </c>
      <c r="V17" s="377">
        <f>U17*K17/J17/I17</f>
        <v>994.19232456284305</v>
      </c>
      <c r="W17" s="21" t="s">
        <v>751</v>
      </c>
      <c r="X17" s="120"/>
    </row>
    <row r="18" spans="1:26" ht="75" customHeight="1" x14ac:dyDescent="0.25">
      <c r="A18" s="21" t="s">
        <v>478</v>
      </c>
      <c r="B18" s="90">
        <v>146</v>
      </c>
      <c r="C18" s="23" t="s">
        <v>268</v>
      </c>
      <c r="D18" s="168">
        <v>36558245</v>
      </c>
      <c r="E18" s="168">
        <v>6451455</v>
      </c>
      <c r="F18" s="168">
        <v>43009700</v>
      </c>
      <c r="G18" s="169">
        <v>31074508</v>
      </c>
      <c r="H18" s="169">
        <v>5585916.5700000003</v>
      </c>
      <c r="I18" s="169">
        <v>36558245</v>
      </c>
      <c r="J18" s="258">
        <f>G18/I18</f>
        <v>0.84999999316159736</v>
      </c>
      <c r="K18" s="189">
        <f>G18</f>
        <v>31074508</v>
      </c>
      <c r="L18" s="276" t="s">
        <v>630</v>
      </c>
      <c r="M18" s="186" t="s">
        <v>680</v>
      </c>
      <c r="N18" s="29" t="s">
        <v>515</v>
      </c>
      <c r="O18" s="111">
        <v>6500</v>
      </c>
      <c r="P18" s="33">
        <f>O18*I18/F18</f>
        <v>5525</v>
      </c>
      <c r="Q18" s="317">
        <f>P18</f>
        <v>5525</v>
      </c>
      <c r="R18" s="29" t="s">
        <v>681</v>
      </c>
      <c r="S18" s="29" t="s">
        <v>515</v>
      </c>
      <c r="T18" s="143">
        <v>1365</v>
      </c>
      <c r="U18" s="141">
        <f>T18*I18/F18</f>
        <v>1160.25</v>
      </c>
      <c r="V18" s="318">
        <f>U18</f>
        <v>1160.25</v>
      </c>
      <c r="W18" s="21" t="s">
        <v>751</v>
      </c>
      <c r="X18" s="120"/>
      <c r="Z18" s="370"/>
    </row>
    <row r="19" spans="1:26" ht="30" x14ac:dyDescent="0.25">
      <c r="A19" s="22" t="s">
        <v>467</v>
      </c>
      <c r="B19" s="24"/>
      <c r="C19" s="22" t="s">
        <v>405</v>
      </c>
      <c r="D19" s="171">
        <f>SUM(D20:D26)</f>
        <v>109940371</v>
      </c>
      <c r="E19" s="171">
        <f>SUM(E20:E26)</f>
        <v>19401242</v>
      </c>
      <c r="F19" s="171">
        <f>SUM(F20:F26)</f>
        <v>129341613</v>
      </c>
      <c r="G19" s="172">
        <f>SUM(G20:G26)</f>
        <v>85311846</v>
      </c>
      <c r="H19" s="172">
        <f>I19-G19</f>
        <v>15055032</v>
      </c>
      <c r="I19" s="172">
        <f>SUM(I20:I26)</f>
        <v>100366878</v>
      </c>
      <c r="J19" s="172"/>
      <c r="K19" s="251">
        <f>K20+K21+K22+K23+K24+K25</f>
        <v>58811846</v>
      </c>
      <c r="L19" s="285" t="s">
        <v>631</v>
      </c>
      <c r="M19" s="27"/>
      <c r="N19" s="27"/>
      <c r="O19" s="123"/>
      <c r="P19" s="123"/>
      <c r="Q19" s="123"/>
      <c r="R19" s="27"/>
      <c r="S19" s="27"/>
      <c r="T19" s="237"/>
      <c r="U19" s="237"/>
      <c r="V19" s="237"/>
      <c r="W19" s="438"/>
      <c r="X19" s="119"/>
    </row>
    <row r="20" spans="1:26" ht="72" customHeight="1" x14ac:dyDescent="0.25">
      <c r="A20" s="464" t="s">
        <v>443</v>
      </c>
      <c r="B20" s="90" t="s">
        <v>116</v>
      </c>
      <c r="C20" s="23" t="s">
        <v>117</v>
      </c>
      <c r="D20" s="168">
        <v>13685000</v>
      </c>
      <c r="E20" s="168">
        <f t="shared" ref="E20:E25" si="6">F20-D20</f>
        <v>2415000</v>
      </c>
      <c r="F20" s="168">
        <f t="shared" ref="F20:F25" si="7">ROUND(D20*100/85,0)</f>
        <v>16100000</v>
      </c>
      <c r="G20" s="169">
        <v>10151169</v>
      </c>
      <c r="H20" s="169">
        <f>I20-G20</f>
        <v>1791383</v>
      </c>
      <c r="I20" s="169">
        <v>11942552</v>
      </c>
      <c r="J20" s="258">
        <f t="shared" ref="J20:J25" si="8">G20/I20</f>
        <v>0.84999998325316062</v>
      </c>
      <c r="K20" s="283">
        <f>G20-2379845</f>
        <v>7771324</v>
      </c>
      <c r="L20" s="271" t="s">
        <v>658</v>
      </c>
      <c r="M20" s="29" t="s">
        <v>584</v>
      </c>
      <c r="N20" s="29" t="s">
        <v>517</v>
      </c>
      <c r="O20" s="111">
        <v>10</v>
      </c>
      <c r="P20" s="33">
        <v>7</v>
      </c>
      <c r="Q20" s="376">
        <f>P20*K20/J20/I20</f>
        <v>5.3589165937440315</v>
      </c>
      <c r="R20" s="217" t="s">
        <v>330</v>
      </c>
      <c r="S20" s="29" t="s">
        <v>531</v>
      </c>
      <c r="T20" s="143">
        <v>21000</v>
      </c>
      <c r="U20" s="141">
        <f>ROUND(T20*I20/F20,0)</f>
        <v>15577</v>
      </c>
      <c r="V20" s="377">
        <f>U20*K20/J20/I20</f>
        <v>11925.120540107253</v>
      </c>
      <c r="W20" s="21" t="s">
        <v>751</v>
      </c>
      <c r="X20" s="120"/>
    </row>
    <row r="21" spans="1:26" ht="65.25" customHeight="1" x14ac:dyDescent="0.25">
      <c r="A21" s="465"/>
      <c r="B21" s="90" t="s">
        <v>118</v>
      </c>
      <c r="C21" s="21" t="s">
        <v>119</v>
      </c>
      <c r="D21" s="170">
        <v>15810000</v>
      </c>
      <c r="E21" s="170">
        <f t="shared" si="6"/>
        <v>2790000</v>
      </c>
      <c r="F21" s="170">
        <f t="shared" si="7"/>
        <v>18600000</v>
      </c>
      <c r="G21" s="170">
        <v>15810000</v>
      </c>
      <c r="H21" s="170">
        <f t="shared" ref="H21:H22" si="9">I21-G21</f>
        <v>2790000</v>
      </c>
      <c r="I21" s="170">
        <f t="shared" ref="I21" si="10">ROUND(G21*100/85,0)</f>
        <v>18600000</v>
      </c>
      <c r="J21" s="267">
        <f t="shared" si="8"/>
        <v>0.85</v>
      </c>
      <c r="K21" s="190">
        <f>G21</f>
        <v>15810000</v>
      </c>
      <c r="L21" s="282" t="s">
        <v>630</v>
      </c>
      <c r="M21" s="29" t="s">
        <v>584</v>
      </c>
      <c r="N21" s="30" t="s">
        <v>517</v>
      </c>
      <c r="O21" s="122">
        <v>20</v>
      </c>
      <c r="P21" s="122">
        <v>20</v>
      </c>
      <c r="Q21" s="122">
        <f>P21</f>
        <v>20</v>
      </c>
      <c r="R21" s="217" t="s">
        <v>330</v>
      </c>
      <c r="S21" s="30" t="s">
        <v>531</v>
      </c>
      <c r="T21" s="238">
        <v>22760</v>
      </c>
      <c r="U21" s="142">
        <v>22760</v>
      </c>
      <c r="V21" s="142">
        <f>U21</f>
        <v>22760</v>
      </c>
      <c r="W21" s="438"/>
      <c r="X21" s="120"/>
    </row>
    <row r="22" spans="1:26" ht="65.25" customHeight="1" x14ac:dyDescent="0.25">
      <c r="A22" s="466"/>
      <c r="B22" s="90" t="s">
        <v>126</v>
      </c>
      <c r="C22" s="23" t="s">
        <v>127</v>
      </c>
      <c r="D22" s="168">
        <v>12665000</v>
      </c>
      <c r="E22" s="168">
        <f t="shared" si="6"/>
        <v>2235000</v>
      </c>
      <c r="F22" s="168">
        <f t="shared" si="7"/>
        <v>14900000</v>
      </c>
      <c r="G22" s="169">
        <v>9394560</v>
      </c>
      <c r="H22" s="169">
        <f t="shared" si="9"/>
        <v>1657864</v>
      </c>
      <c r="I22" s="169">
        <v>11052424</v>
      </c>
      <c r="J22" s="258">
        <f t="shared" si="8"/>
        <v>0.84999996380884413</v>
      </c>
      <c r="K22" s="283">
        <f>G22-2000000</f>
        <v>7394560</v>
      </c>
      <c r="L22" s="271" t="s">
        <v>659</v>
      </c>
      <c r="M22" s="29" t="s">
        <v>584</v>
      </c>
      <c r="N22" s="29" t="s">
        <v>517</v>
      </c>
      <c r="O22" s="111">
        <v>5</v>
      </c>
      <c r="P22" s="33">
        <v>3</v>
      </c>
      <c r="Q22" s="376">
        <f>P22*K22/J22/I22</f>
        <v>2.3613325158389538</v>
      </c>
      <c r="R22" s="217" t="s">
        <v>330</v>
      </c>
      <c r="S22" s="29" t="s">
        <v>531</v>
      </c>
      <c r="T22" s="143">
        <v>5685</v>
      </c>
      <c r="U22" s="141">
        <f>ROUND(T22*I22/F22,0)</f>
        <v>4217</v>
      </c>
      <c r="V22" s="377">
        <f>U22*K22/J22/I22</f>
        <v>3319.2464064309556</v>
      </c>
      <c r="W22" s="21" t="s">
        <v>751</v>
      </c>
      <c r="X22" s="120"/>
    </row>
    <row r="23" spans="1:26" ht="54" customHeight="1" x14ac:dyDescent="0.25">
      <c r="A23" s="464" t="s">
        <v>444</v>
      </c>
      <c r="B23" s="90" t="s">
        <v>186</v>
      </c>
      <c r="C23" s="21" t="s">
        <v>187</v>
      </c>
      <c r="D23" s="167">
        <v>13863500</v>
      </c>
      <c r="E23" s="167">
        <f t="shared" si="6"/>
        <v>2446500</v>
      </c>
      <c r="F23" s="167">
        <f t="shared" si="7"/>
        <v>16310000</v>
      </c>
      <c r="G23" s="167">
        <v>13863500</v>
      </c>
      <c r="H23" s="167">
        <v>2446500</v>
      </c>
      <c r="I23" s="167">
        <v>16310000</v>
      </c>
      <c r="J23" s="268">
        <f t="shared" si="8"/>
        <v>0.85</v>
      </c>
      <c r="K23" s="174">
        <f>G23</f>
        <v>13863500</v>
      </c>
      <c r="L23" s="282" t="s">
        <v>630</v>
      </c>
      <c r="M23" s="95" t="s">
        <v>344</v>
      </c>
      <c r="N23" s="25" t="s">
        <v>519</v>
      </c>
      <c r="O23" s="45">
        <v>2300</v>
      </c>
      <c r="P23" s="45">
        <v>2300</v>
      </c>
      <c r="Q23" s="45">
        <f>P23</f>
        <v>2300</v>
      </c>
      <c r="R23" s="220" t="s">
        <v>341</v>
      </c>
      <c r="S23" s="25" t="s">
        <v>526</v>
      </c>
      <c r="T23" s="142">
        <v>301963</v>
      </c>
      <c r="U23" s="142">
        <v>301963</v>
      </c>
      <c r="V23" s="142">
        <f>U23</f>
        <v>301963</v>
      </c>
      <c r="W23" s="438"/>
      <c r="X23" s="120"/>
    </row>
    <row r="24" spans="1:26" ht="30" x14ac:dyDescent="0.25">
      <c r="A24" s="466"/>
      <c r="B24" s="90" t="s">
        <v>194</v>
      </c>
      <c r="C24" s="21" t="s">
        <v>195</v>
      </c>
      <c r="D24" s="167">
        <v>701250</v>
      </c>
      <c r="E24" s="167">
        <f t="shared" si="6"/>
        <v>123750</v>
      </c>
      <c r="F24" s="167">
        <f t="shared" si="7"/>
        <v>825000</v>
      </c>
      <c r="G24" s="167">
        <v>701250</v>
      </c>
      <c r="H24" s="167">
        <v>123750</v>
      </c>
      <c r="I24" s="167">
        <v>825000</v>
      </c>
      <c r="J24" s="268">
        <f t="shared" si="8"/>
        <v>0.85</v>
      </c>
      <c r="K24" s="174">
        <f>G24</f>
        <v>701250</v>
      </c>
      <c r="L24" s="282" t="s">
        <v>630</v>
      </c>
      <c r="M24" s="165" t="s">
        <v>615</v>
      </c>
      <c r="N24" s="25" t="s">
        <v>522</v>
      </c>
      <c r="O24" s="45">
        <v>66</v>
      </c>
      <c r="P24" s="45">
        <v>66</v>
      </c>
      <c r="Q24" s="45">
        <f>P24</f>
        <v>66</v>
      </c>
      <c r="R24" s="25"/>
      <c r="S24" s="25"/>
      <c r="T24" s="142"/>
      <c r="U24" s="142"/>
      <c r="V24" s="142"/>
      <c r="W24" s="438"/>
      <c r="X24" s="120"/>
    </row>
    <row r="25" spans="1:26" ht="69.75" customHeight="1" x14ac:dyDescent="0.25">
      <c r="A25" s="464" t="s">
        <v>458</v>
      </c>
      <c r="B25" s="494" t="s">
        <v>118</v>
      </c>
      <c r="C25" s="496" t="s">
        <v>119</v>
      </c>
      <c r="D25" s="498">
        <v>53215621</v>
      </c>
      <c r="E25" s="498">
        <f t="shared" si="6"/>
        <v>9390992</v>
      </c>
      <c r="F25" s="498">
        <f t="shared" si="7"/>
        <v>62606613</v>
      </c>
      <c r="G25" s="492">
        <v>35391367</v>
      </c>
      <c r="H25" s="492">
        <f t="shared" ref="H25" si="11">I25-G25</f>
        <v>6245535</v>
      </c>
      <c r="I25" s="492">
        <v>41636902</v>
      </c>
      <c r="J25" s="475">
        <f t="shared" si="8"/>
        <v>0.85000000720514701</v>
      </c>
      <c r="K25" s="529">
        <f>G25-21620155-500000</f>
        <v>13271212</v>
      </c>
      <c r="L25" s="527" t="s">
        <v>676</v>
      </c>
      <c r="M25" s="29" t="s">
        <v>584</v>
      </c>
      <c r="N25" s="29" t="s">
        <v>517</v>
      </c>
      <c r="O25" s="111">
        <v>30</v>
      </c>
      <c r="P25" s="33">
        <v>19</v>
      </c>
      <c r="Q25" s="376">
        <f>P25*K25/J25/I25</f>
        <v>7.1247043947186333</v>
      </c>
      <c r="R25" s="217" t="s">
        <v>330</v>
      </c>
      <c r="S25" s="29" t="s">
        <v>531</v>
      </c>
      <c r="T25" s="143">
        <v>34140</v>
      </c>
      <c r="U25" s="141">
        <f>ROUND(T25*I25/F25,0)</f>
        <v>22705</v>
      </c>
      <c r="V25" s="377">
        <f>U25*K25/J25/I25</f>
        <v>8514.021751688766</v>
      </c>
      <c r="W25" s="21" t="s">
        <v>751</v>
      </c>
      <c r="X25" s="120"/>
    </row>
    <row r="26" spans="1:26" ht="44.25" customHeight="1" x14ac:dyDescent="0.25">
      <c r="A26" s="466"/>
      <c r="B26" s="495"/>
      <c r="C26" s="497"/>
      <c r="D26" s="499"/>
      <c r="E26" s="499"/>
      <c r="F26" s="499"/>
      <c r="G26" s="493"/>
      <c r="H26" s="493"/>
      <c r="I26" s="493"/>
      <c r="J26" s="476"/>
      <c r="K26" s="530"/>
      <c r="L26" s="528"/>
      <c r="M26" s="177" t="s">
        <v>682</v>
      </c>
      <c r="N26" s="29" t="s">
        <v>527</v>
      </c>
      <c r="O26" s="111">
        <v>6000</v>
      </c>
      <c r="P26" s="33">
        <f>O26*I25/F25</f>
        <v>3990.3358451925837</v>
      </c>
      <c r="Q26" s="376">
        <f>P26*K25/J25/I25</f>
        <v>1496.3138596129943</v>
      </c>
      <c r="R26" s="29"/>
      <c r="S26" s="29"/>
      <c r="T26" s="143"/>
      <c r="U26" s="143"/>
      <c r="V26" s="143"/>
      <c r="W26" s="21" t="s">
        <v>751</v>
      </c>
      <c r="X26" s="120"/>
    </row>
    <row r="27" spans="1:26" ht="45" x14ac:dyDescent="0.25">
      <c r="A27" s="22" t="s">
        <v>441</v>
      </c>
      <c r="B27" s="24"/>
      <c r="C27" s="22" t="s">
        <v>404</v>
      </c>
      <c r="D27" s="171">
        <f>SUM(D28)</f>
        <v>25500000</v>
      </c>
      <c r="E27" s="171">
        <f t="shared" ref="E27:I27" si="12">SUM(E28)</f>
        <v>4500000</v>
      </c>
      <c r="F27" s="171">
        <f t="shared" si="12"/>
        <v>30000000</v>
      </c>
      <c r="G27" s="171">
        <f t="shared" si="12"/>
        <v>25500000</v>
      </c>
      <c r="H27" s="171">
        <f>I27-G27</f>
        <v>4500000</v>
      </c>
      <c r="I27" s="171">
        <f t="shared" si="12"/>
        <v>30000000</v>
      </c>
      <c r="J27" s="171"/>
      <c r="K27" s="251">
        <f>K28</f>
        <v>51500000</v>
      </c>
      <c r="L27" s="285" t="s">
        <v>638</v>
      </c>
      <c r="M27" s="27"/>
      <c r="N27" s="27"/>
      <c r="O27" s="123"/>
      <c r="P27" s="123"/>
      <c r="Q27" s="123"/>
      <c r="R27" s="27"/>
      <c r="S27" s="27"/>
      <c r="T27" s="237"/>
      <c r="U27" s="237"/>
      <c r="V27" s="237"/>
      <c r="W27" s="438"/>
    </row>
    <row r="28" spans="1:26" ht="80.25" customHeight="1" x14ac:dyDescent="0.25">
      <c r="A28" s="21" t="s">
        <v>441</v>
      </c>
      <c r="B28" s="90" t="s">
        <v>168</v>
      </c>
      <c r="C28" s="21" t="s">
        <v>169</v>
      </c>
      <c r="D28" s="167">
        <v>25500000</v>
      </c>
      <c r="E28" s="167">
        <f>F28-D28</f>
        <v>4500000</v>
      </c>
      <c r="F28" s="167">
        <f>ROUND(D28*100/85,0)</f>
        <v>30000000</v>
      </c>
      <c r="G28" s="167">
        <v>25500000</v>
      </c>
      <c r="H28" s="167">
        <v>4500000</v>
      </c>
      <c r="I28" s="167">
        <v>30000000</v>
      </c>
      <c r="J28" s="268">
        <f>G28/I28</f>
        <v>0.85</v>
      </c>
      <c r="K28" s="284">
        <f>G28+4379845+21620155</f>
        <v>51500000</v>
      </c>
      <c r="L28" s="277" t="s">
        <v>660</v>
      </c>
      <c r="M28" s="179" t="s">
        <v>336</v>
      </c>
      <c r="N28" s="25" t="s">
        <v>518</v>
      </c>
      <c r="O28" s="45">
        <v>74</v>
      </c>
      <c r="P28" s="45">
        <v>74</v>
      </c>
      <c r="Q28" s="375">
        <f>P28*K28/J28/I28</f>
        <v>149.45098039215685</v>
      </c>
      <c r="R28" s="179" t="s">
        <v>586</v>
      </c>
      <c r="S28" s="25" t="s">
        <v>518</v>
      </c>
      <c r="T28" s="142">
        <v>37</v>
      </c>
      <c r="U28" s="142">
        <v>37</v>
      </c>
      <c r="V28" s="372">
        <f>U28*K28/J28/I28</f>
        <v>74.725490196078425</v>
      </c>
      <c r="W28" s="21" t="s">
        <v>751</v>
      </c>
    </row>
    <row r="29" spans="1:26" ht="30" x14ac:dyDescent="0.25">
      <c r="A29" s="22" t="s">
        <v>442</v>
      </c>
      <c r="B29" s="24"/>
      <c r="C29" s="22" t="s">
        <v>407</v>
      </c>
      <c r="D29" s="175">
        <f>SUM(D37:D38)</f>
        <v>0</v>
      </c>
      <c r="E29" s="175">
        <f t="shared" ref="E29" si="13">SUM(E37:E38)</f>
        <v>0</v>
      </c>
      <c r="F29" s="175">
        <f>SUM(F36)</f>
        <v>0</v>
      </c>
      <c r="G29" s="175">
        <f>SUM(G36)</f>
        <v>0</v>
      </c>
      <c r="H29" s="175">
        <f>SUM(H36)</f>
        <v>0</v>
      </c>
      <c r="I29" s="175">
        <f>SUM(I36)</f>
        <v>0</v>
      </c>
      <c r="J29" s="175"/>
      <c r="K29" s="175">
        <v>0</v>
      </c>
      <c r="L29" s="175"/>
      <c r="M29" s="27"/>
      <c r="N29" s="27"/>
      <c r="O29" s="123"/>
      <c r="P29" s="123"/>
      <c r="Q29" s="123"/>
      <c r="R29" s="27"/>
      <c r="S29" s="27"/>
      <c r="T29" s="237"/>
      <c r="U29" s="237"/>
      <c r="V29" s="237"/>
      <c r="W29" s="438"/>
    </row>
    <row r="30" spans="1:26" ht="37.5" customHeight="1" x14ac:dyDescent="0.25">
      <c r="A30" s="343" t="s">
        <v>674</v>
      </c>
      <c r="B30" s="349"/>
      <c r="C30" s="22"/>
      <c r="D30" s="357"/>
      <c r="E30" s="357"/>
      <c r="F30" s="357"/>
      <c r="G30" s="357"/>
      <c r="H30" s="357"/>
      <c r="I30" s="357"/>
      <c r="J30" s="175"/>
      <c r="K30" s="358">
        <f>K31+K33</f>
        <v>1500000</v>
      </c>
      <c r="L30" s="359" t="s">
        <v>673</v>
      </c>
      <c r="M30" s="27"/>
      <c r="N30" s="27"/>
      <c r="O30" s="123"/>
      <c r="P30" s="123"/>
      <c r="Q30" s="123"/>
      <c r="R30" s="27"/>
      <c r="S30" s="27"/>
      <c r="T30" s="237"/>
      <c r="U30" s="237"/>
      <c r="V30" s="237"/>
      <c r="W30" s="438"/>
    </row>
    <row r="31" spans="1:26" ht="111" customHeight="1" x14ac:dyDescent="0.25">
      <c r="A31" s="547" t="s">
        <v>675</v>
      </c>
      <c r="B31" s="550">
        <v>137</v>
      </c>
      <c r="C31" s="549" t="s">
        <v>259</v>
      </c>
      <c r="D31" s="382"/>
      <c r="E31" s="382"/>
      <c r="F31" s="382"/>
      <c r="G31" s="382"/>
      <c r="H31" s="382"/>
      <c r="I31" s="382"/>
      <c r="J31" s="551">
        <v>0.85</v>
      </c>
      <c r="K31" s="552">
        <v>500000</v>
      </c>
      <c r="L31" s="540" t="s">
        <v>678</v>
      </c>
      <c r="M31" s="368" t="s">
        <v>683</v>
      </c>
      <c r="N31" s="346" t="s">
        <v>515</v>
      </c>
      <c r="O31" s="366"/>
      <c r="P31" s="366"/>
      <c r="Q31" s="367">
        <v>200</v>
      </c>
      <c r="R31" s="445"/>
      <c r="S31" s="252"/>
      <c r="T31" s="252"/>
      <c r="U31" s="252"/>
      <c r="V31" s="252"/>
      <c r="W31" s="447" t="s">
        <v>763</v>
      </c>
    </row>
    <row r="32" spans="1:26" ht="57.75" customHeight="1" x14ac:dyDescent="0.25">
      <c r="A32" s="547"/>
      <c r="B32" s="550"/>
      <c r="C32" s="549"/>
      <c r="D32" s="382"/>
      <c r="E32" s="382"/>
      <c r="F32" s="382"/>
      <c r="G32" s="382"/>
      <c r="H32" s="382"/>
      <c r="I32" s="382"/>
      <c r="J32" s="551"/>
      <c r="K32" s="552"/>
      <c r="L32" s="540"/>
      <c r="M32" s="381" t="s">
        <v>684</v>
      </c>
      <c r="N32" s="286" t="s">
        <v>746</v>
      </c>
      <c r="O32" s="366"/>
      <c r="P32" s="366"/>
      <c r="Q32" s="367">
        <v>114000</v>
      </c>
      <c r="R32" s="381"/>
      <c r="S32" s="346"/>
      <c r="T32" s="427"/>
      <c r="U32" s="427"/>
      <c r="V32" s="367"/>
      <c r="W32" s="447" t="s">
        <v>757</v>
      </c>
    </row>
    <row r="33" spans="1:24" ht="103.5" customHeight="1" x14ac:dyDescent="0.25">
      <c r="A33" s="547" t="s">
        <v>688</v>
      </c>
      <c r="B33" s="548" t="s">
        <v>72</v>
      </c>
      <c r="C33" s="549" t="s">
        <v>497</v>
      </c>
      <c r="D33" s="382"/>
      <c r="E33" s="382"/>
      <c r="F33" s="382"/>
      <c r="G33" s="382"/>
      <c r="H33" s="382"/>
      <c r="I33" s="382"/>
      <c r="J33" s="541">
        <v>0.85</v>
      </c>
      <c r="K33" s="543">
        <v>1000000</v>
      </c>
      <c r="L33" s="545" t="s">
        <v>685</v>
      </c>
      <c r="M33" s="368" t="s">
        <v>686</v>
      </c>
      <c r="N33" s="346" t="s">
        <v>515</v>
      </c>
      <c r="O33" s="366"/>
      <c r="P33" s="366"/>
      <c r="Q33" s="367">
        <v>2000</v>
      </c>
      <c r="R33" s="381" t="s">
        <v>743</v>
      </c>
      <c r="S33" s="346" t="s">
        <v>529</v>
      </c>
      <c r="T33" s="366"/>
      <c r="U33" s="366"/>
      <c r="V33" s="367">
        <v>167</v>
      </c>
      <c r="W33" s="447" t="s">
        <v>758</v>
      </c>
      <c r="X33" s="448" t="s">
        <v>764</v>
      </c>
    </row>
    <row r="34" spans="1:24" ht="61.5" customHeight="1" x14ac:dyDescent="0.25">
      <c r="A34" s="547"/>
      <c r="B34" s="548"/>
      <c r="C34" s="549"/>
      <c r="D34" s="382"/>
      <c r="E34" s="382"/>
      <c r="F34" s="382"/>
      <c r="G34" s="382"/>
      <c r="H34" s="382"/>
      <c r="I34" s="382"/>
      <c r="J34" s="542"/>
      <c r="K34" s="544"/>
      <c r="L34" s="546"/>
      <c r="M34" s="381" t="s">
        <v>687</v>
      </c>
      <c r="N34" s="346" t="s">
        <v>745</v>
      </c>
      <c r="O34" s="366"/>
      <c r="P34" s="366"/>
      <c r="Q34" s="367">
        <v>1</v>
      </c>
      <c r="R34" s="446"/>
      <c r="S34" s="346"/>
      <c r="T34" s="427"/>
      <c r="U34" s="427"/>
      <c r="V34" s="367"/>
      <c r="W34" s="448" t="s">
        <v>759</v>
      </c>
    </row>
    <row r="35" spans="1:24" ht="40.5" customHeight="1" x14ac:dyDescent="0.25">
      <c r="A35" s="360"/>
      <c r="B35" s="361"/>
      <c r="C35" s="362"/>
      <c r="D35" s="294"/>
      <c r="E35" s="294"/>
      <c r="F35" s="294"/>
      <c r="G35" s="294"/>
      <c r="H35" s="294"/>
      <c r="I35" s="294"/>
      <c r="J35" s="365"/>
      <c r="K35" s="363"/>
      <c r="L35" s="364"/>
      <c r="M35" s="369"/>
      <c r="N35" s="293"/>
      <c r="O35" s="355"/>
      <c r="P35" s="355"/>
      <c r="Q35" s="355"/>
      <c r="R35" s="293"/>
      <c r="S35" s="293"/>
      <c r="T35" s="356"/>
      <c r="U35" s="356"/>
      <c r="V35" s="356"/>
      <c r="W35" s="356"/>
    </row>
    <row r="36" spans="1:24" ht="45" x14ac:dyDescent="0.25">
      <c r="D36" s="16"/>
      <c r="E36" s="16"/>
      <c r="F36" s="16"/>
      <c r="G36" s="455"/>
      <c r="H36" s="455"/>
      <c r="I36" s="456"/>
      <c r="J36" s="455"/>
      <c r="K36" s="16"/>
      <c r="L36" s="16"/>
      <c r="M36" s="32" t="s">
        <v>550</v>
      </c>
      <c r="N36" s="17"/>
      <c r="O36" s="17" t="s">
        <v>691</v>
      </c>
      <c r="P36" s="17" t="s">
        <v>692</v>
      </c>
      <c r="Q36" s="291"/>
      <c r="R36" s="16"/>
      <c r="S36" s="16"/>
      <c r="T36" s="239"/>
      <c r="U36" s="239"/>
      <c r="V36" s="239"/>
      <c r="W36" s="419"/>
    </row>
    <row r="37" spans="1:24" ht="45" x14ac:dyDescent="0.25">
      <c r="F37" s="279"/>
      <c r="G37" s="43"/>
      <c r="H37" s="455"/>
      <c r="I37" s="456"/>
      <c r="J37" s="43"/>
      <c r="M37" s="15" t="s">
        <v>475</v>
      </c>
      <c r="N37" s="15" t="s">
        <v>528</v>
      </c>
      <c r="O37" s="15">
        <v>114000</v>
      </c>
      <c r="P37" s="44">
        <v>114000</v>
      </c>
    </row>
    <row r="38" spans="1:24" ht="45" x14ac:dyDescent="0.25">
      <c r="E38" s="310"/>
      <c r="G38" s="43"/>
      <c r="H38" s="397"/>
      <c r="I38" s="43"/>
      <c r="J38" s="457"/>
      <c r="M38" s="15" t="s">
        <v>476</v>
      </c>
      <c r="N38" s="15" t="s">
        <v>529</v>
      </c>
      <c r="O38" s="15">
        <v>167</v>
      </c>
      <c r="P38" s="44">
        <v>167</v>
      </c>
    </row>
    <row r="39" spans="1:24" x14ac:dyDescent="0.25">
      <c r="M39" s="391" t="s">
        <v>701</v>
      </c>
      <c r="N39" s="393">
        <f>Q10+Q18+Q31+Q33</f>
        <v>7861.7702095646873</v>
      </c>
      <c r="R39" s="118" t="s">
        <v>714</v>
      </c>
      <c r="S39" s="393">
        <f>V8+V12+V15</f>
        <v>1736.8841445685841</v>
      </c>
    </row>
    <row r="40" spans="1:24" x14ac:dyDescent="0.25">
      <c r="M40" s="391" t="s">
        <v>723</v>
      </c>
      <c r="N40" s="393">
        <f>Q8+Q11+Q14</f>
        <v>773.89178702406389</v>
      </c>
      <c r="R40" s="118" t="s">
        <v>715</v>
      </c>
      <c r="S40" s="393">
        <f>V10+V18</f>
        <v>1297.0202095646873</v>
      </c>
    </row>
    <row r="41" spans="1:24" x14ac:dyDescent="0.25">
      <c r="M41" s="391" t="s">
        <v>724</v>
      </c>
      <c r="N41" s="393">
        <f>Q9+Q12</f>
        <v>473.89178702406389</v>
      </c>
      <c r="R41" s="392" t="s">
        <v>721</v>
      </c>
      <c r="S41" s="394">
        <f>V11</f>
        <v>17</v>
      </c>
      <c r="T41" s="44" t="s">
        <v>706</v>
      </c>
    </row>
    <row r="42" spans="1:24" x14ac:dyDescent="0.25">
      <c r="M42" s="391" t="s">
        <v>704</v>
      </c>
      <c r="N42" s="393">
        <f>Q15</f>
        <v>300</v>
      </c>
      <c r="R42" s="391" t="s">
        <v>716</v>
      </c>
      <c r="S42" s="393">
        <f>V14</f>
        <v>75</v>
      </c>
    </row>
    <row r="43" spans="1:24" x14ac:dyDescent="0.25">
      <c r="M43" s="392" t="s">
        <v>705</v>
      </c>
      <c r="N43" s="394">
        <f>Q13</f>
        <v>17</v>
      </c>
      <c r="O43" s="402" t="s">
        <v>706</v>
      </c>
      <c r="R43" s="391" t="s">
        <v>720</v>
      </c>
      <c r="S43" s="393">
        <f>V17</f>
        <v>994.19232456284305</v>
      </c>
    </row>
    <row r="44" spans="1:24" x14ac:dyDescent="0.25">
      <c r="M44" s="391" t="s">
        <v>707</v>
      </c>
      <c r="N44" s="393">
        <f>Q20+Q21+Q22+Q25</f>
        <v>34.844953504301614</v>
      </c>
      <c r="R44" s="391" t="s">
        <v>717</v>
      </c>
      <c r="S44" s="393">
        <f>V20+V21+V22+V25</f>
        <v>46518.388698226969</v>
      </c>
    </row>
    <row r="45" spans="1:24" x14ac:dyDescent="0.25">
      <c r="M45" s="391" t="s">
        <v>710</v>
      </c>
      <c r="N45" s="393">
        <f>Q17</f>
        <v>4907.537715352164</v>
      </c>
      <c r="R45" s="391" t="s">
        <v>719</v>
      </c>
      <c r="S45" s="393">
        <f>V23</f>
        <v>301963</v>
      </c>
    </row>
    <row r="46" spans="1:24" x14ac:dyDescent="0.25">
      <c r="M46" s="391" t="s">
        <v>709</v>
      </c>
      <c r="N46" s="393">
        <f>Q23</f>
        <v>2300</v>
      </c>
      <c r="R46" s="391" t="s">
        <v>718</v>
      </c>
      <c r="S46" s="393">
        <f>V28</f>
        <v>74.725490196078425</v>
      </c>
    </row>
    <row r="47" spans="1:24" x14ac:dyDescent="0.25">
      <c r="M47" s="391" t="s">
        <v>712</v>
      </c>
      <c r="N47" s="393">
        <f>Q24</f>
        <v>66</v>
      </c>
      <c r="R47" s="392" t="s">
        <v>744</v>
      </c>
      <c r="S47" s="394">
        <f>V33</f>
        <v>167</v>
      </c>
      <c r="T47" s="44" t="s">
        <v>706</v>
      </c>
    </row>
    <row r="48" spans="1:24" x14ac:dyDescent="0.25">
      <c r="M48" s="391" t="s">
        <v>711</v>
      </c>
      <c r="N48" s="393">
        <f>Q26</f>
        <v>1496.3138596129943</v>
      </c>
      <c r="R48" s="392"/>
      <c r="S48" s="394"/>
      <c r="T48" s="44"/>
    </row>
    <row r="49" spans="13:19" x14ac:dyDescent="0.25">
      <c r="M49" s="391" t="s">
        <v>708</v>
      </c>
      <c r="N49" s="393">
        <f>Q28</f>
        <v>149.45098039215685</v>
      </c>
      <c r="R49" s="391"/>
      <c r="S49" s="393"/>
    </row>
    <row r="50" spans="13:19" x14ac:dyDescent="0.25">
      <c r="M50" s="391" t="s">
        <v>725</v>
      </c>
      <c r="N50" s="391">
        <f>Q32</f>
        <v>114000</v>
      </c>
      <c r="R50" s="391"/>
      <c r="S50" s="391"/>
    </row>
    <row r="51" spans="13:19" x14ac:dyDescent="0.25">
      <c r="M51" s="392" t="s">
        <v>726</v>
      </c>
      <c r="N51" s="394">
        <f>Q34</f>
        <v>1</v>
      </c>
      <c r="O51" s="44" t="s">
        <v>706</v>
      </c>
      <c r="R51" s="391"/>
      <c r="S51" s="391"/>
    </row>
    <row r="52" spans="13:19" x14ac:dyDescent="0.25">
      <c r="M52" s="391"/>
      <c r="N52" s="391"/>
      <c r="R52" s="391"/>
      <c r="S52" s="391"/>
    </row>
    <row r="53" spans="13:19" x14ac:dyDescent="0.25">
      <c r="M53" s="391"/>
      <c r="N53" s="391"/>
      <c r="R53" s="391"/>
      <c r="S53" s="391"/>
    </row>
    <row r="54" spans="13:19" x14ac:dyDescent="0.25">
      <c r="M54" s="391"/>
      <c r="N54" s="391"/>
      <c r="R54" s="391"/>
      <c r="S54" s="391"/>
    </row>
    <row r="55" spans="13:19" x14ac:dyDescent="0.25">
      <c r="M55" s="391"/>
      <c r="N55" s="391"/>
      <c r="R55" s="391"/>
      <c r="S55" s="391"/>
    </row>
    <row r="56" spans="13:19" x14ac:dyDescent="0.25">
      <c r="M56" s="391"/>
      <c r="N56" s="391"/>
      <c r="R56" s="391"/>
      <c r="S56" s="391"/>
    </row>
    <row r="57" spans="13:19" x14ac:dyDescent="0.25">
      <c r="M57" s="391"/>
      <c r="N57" s="391"/>
      <c r="R57" s="391"/>
      <c r="S57" s="391"/>
    </row>
    <row r="58" spans="13:19" x14ac:dyDescent="0.25">
      <c r="M58" s="391"/>
      <c r="N58" s="391"/>
      <c r="R58" s="391"/>
      <c r="S58" s="391"/>
    </row>
    <row r="59" spans="13:19" x14ac:dyDescent="0.25">
      <c r="M59" s="391"/>
      <c r="N59" s="391"/>
    </row>
    <row r="60" spans="13:19" x14ac:dyDescent="0.25">
      <c r="M60" s="391"/>
      <c r="N60" s="391"/>
    </row>
    <row r="61" spans="13:19" x14ac:dyDescent="0.25">
      <c r="M61" s="391"/>
      <c r="N61" s="391"/>
    </row>
    <row r="62" spans="13:19" x14ac:dyDescent="0.25">
      <c r="N62" s="391"/>
    </row>
  </sheetData>
  <autoFilter ref="A2:T38" xr:uid="{5292ED17-C9AC-488B-BA58-BDE56A47D4CA}"/>
  <mergeCells count="55">
    <mergeCell ref="L31:L32"/>
    <mergeCell ref="J33:J34"/>
    <mergeCell ref="K33:K34"/>
    <mergeCell ref="L33:L34"/>
    <mergeCell ref="A33:A34"/>
    <mergeCell ref="B33:B34"/>
    <mergeCell ref="C33:C34"/>
    <mergeCell ref="A31:A32"/>
    <mergeCell ref="B31:B32"/>
    <mergeCell ref="C31:C32"/>
    <mergeCell ref="J31:J32"/>
    <mergeCell ref="K31:K32"/>
    <mergeCell ref="J14:J15"/>
    <mergeCell ref="J25:J26"/>
    <mergeCell ref="K8:K10"/>
    <mergeCell ref="L8:L10"/>
    <mergeCell ref="L25:L26"/>
    <mergeCell ref="K25:K26"/>
    <mergeCell ref="K14:K15"/>
    <mergeCell ref="L14:L15"/>
    <mergeCell ref="J8:J10"/>
    <mergeCell ref="J11:J13"/>
    <mergeCell ref="K11:K13"/>
    <mergeCell ref="L11:L13"/>
    <mergeCell ref="A14:A15"/>
    <mergeCell ref="C14:C15"/>
    <mergeCell ref="D14:D15"/>
    <mergeCell ref="E14:E15"/>
    <mergeCell ref="F14:F15"/>
    <mergeCell ref="B14:B15"/>
    <mergeCell ref="G25:G26"/>
    <mergeCell ref="H25:H26"/>
    <mergeCell ref="I25:I26"/>
    <mergeCell ref="G14:G15"/>
    <mergeCell ref="H14:H15"/>
    <mergeCell ref="I14:I15"/>
    <mergeCell ref="E25:E26"/>
    <mergeCell ref="F25:F26"/>
    <mergeCell ref="A20:A22"/>
    <mergeCell ref="A25:A26"/>
    <mergeCell ref="B25:B26"/>
    <mergeCell ref="C25:C26"/>
    <mergeCell ref="D25:D26"/>
    <mergeCell ref="A23:A24"/>
    <mergeCell ref="A8:A13"/>
    <mergeCell ref="I8:I10"/>
    <mergeCell ref="B8:B10"/>
    <mergeCell ref="C8:C10"/>
    <mergeCell ref="D8:D10"/>
    <mergeCell ref="E8:E10"/>
    <mergeCell ref="F8:F10"/>
    <mergeCell ref="G8:G10"/>
    <mergeCell ref="H8:H10"/>
    <mergeCell ref="B11:B13"/>
    <mergeCell ref="C11:C13"/>
  </mergeCells>
  <pageMargins left="0.25" right="0.25" top="0.75" bottom="0.75" header="0.3" footer="0.3"/>
  <pageSetup paperSize="9" scale="2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BEB7C-FDD5-4337-B86F-5C7EFD6A05E7}">
  <sheetPr>
    <tabColor rgb="FF00B0F0"/>
    <pageSetUpPr fitToPage="1"/>
  </sheetPr>
  <dimension ref="A1:V50"/>
  <sheetViews>
    <sheetView topLeftCell="H25" zoomScale="80" zoomScaleNormal="80" workbookViewId="0">
      <selection activeCell="K28" sqref="K28"/>
    </sheetView>
  </sheetViews>
  <sheetFormatPr defaultRowHeight="15" x14ac:dyDescent="0.25"/>
  <cols>
    <col min="1" max="1" width="38.85546875" style="14" customWidth="1"/>
    <col min="2" max="2" width="14.5703125" style="13" customWidth="1"/>
    <col min="3" max="3" width="34.28515625" style="14" customWidth="1"/>
    <col min="4" max="4" width="17.5703125" style="15" customWidth="1"/>
    <col min="5" max="5" width="19.42578125" style="15" customWidth="1"/>
    <col min="6" max="10" width="17.42578125" style="15" customWidth="1"/>
    <col min="11" max="11" width="34" style="15" customWidth="1"/>
    <col min="12" max="12" width="33.85546875" style="14" customWidth="1"/>
    <col min="13" max="13" width="15.42578125" style="14" customWidth="1"/>
    <col min="14" max="14" width="10" style="13" customWidth="1"/>
    <col min="15" max="16" width="13.85546875" style="13" customWidth="1"/>
    <col min="17" max="17" width="33.28515625" style="14" customWidth="1"/>
    <col min="18" max="18" width="13.85546875" style="14" customWidth="1"/>
    <col min="19" max="19" width="12" style="13" bestFit="1" customWidth="1"/>
    <col min="20" max="21" width="13" style="13" customWidth="1"/>
    <col min="22" max="22" width="35.28515625" style="14" customWidth="1"/>
    <col min="23" max="23" width="9.140625" style="14" customWidth="1"/>
    <col min="24" max="16384" width="9.140625" style="14"/>
  </cols>
  <sheetData>
    <row r="1" spans="1:22" ht="18.75" customHeight="1" x14ac:dyDescent="0.25">
      <c r="G1" s="330" t="s">
        <v>649</v>
      </c>
      <c r="H1" s="331"/>
      <c r="I1" s="332"/>
      <c r="J1" s="333" t="s">
        <v>650</v>
      </c>
      <c r="K1" s="334"/>
    </row>
    <row r="2" spans="1:22" s="42" customFormat="1" ht="60" x14ac:dyDescent="0.25">
      <c r="A2" s="34" t="s">
        <v>377</v>
      </c>
      <c r="B2" s="87" t="s">
        <v>378</v>
      </c>
      <c r="C2" s="34" t="s">
        <v>379</v>
      </c>
      <c r="D2" s="38" t="s">
        <v>411</v>
      </c>
      <c r="E2" s="38" t="s">
        <v>412</v>
      </c>
      <c r="F2" s="38" t="s">
        <v>413</v>
      </c>
      <c r="G2" s="39" t="s">
        <v>507</v>
      </c>
      <c r="H2" s="39" t="s">
        <v>508</v>
      </c>
      <c r="I2" s="39" t="s">
        <v>509</v>
      </c>
      <c r="J2" s="257" t="s">
        <v>627</v>
      </c>
      <c r="K2" s="257" t="s">
        <v>628</v>
      </c>
      <c r="L2" s="34" t="s">
        <v>385</v>
      </c>
      <c r="M2" s="40" t="s">
        <v>514</v>
      </c>
      <c r="N2" s="34">
        <v>2029</v>
      </c>
      <c r="O2" s="40" t="s">
        <v>646</v>
      </c>
      <c r="P2" s="257" t="s">
        <v>647</v>
      </c>
      <c r="Q2" s="34" t="s">
        <v>386</v>
      </c>
      <c r="R2" s="40" t="s">
        <v>514</v>
      </c>
      <c r="S2" s="34">
        <v>2029</v>
      </c>
      <c r="T2" s="40" t="s">
        <v>646</v>
      </c>
      <c r="U2" s="257" t="s">
        <v>647</v>
      </c>
      <c r="V2" s="208" t="s">
        <v>750</v>
      </c>
    </row>
    <row r="3" spans="1:22" s="37" customFormat="1" ht="30.75" customHeight="1" x14ac:dyDescent="0.25">
      <c r="A3" s="31" t="s">
        <v>572</v>
      </c>
      <c r="B3" s="87"/>
      <c r="C3" s="31" t="s">
        <v>410</v>
      </c>
      <c r="D3" s="173">
        <v>2139715532</v>
      </c>
      <c r="E3" s="173">
        <v>391022526</v>
      </c>
      <c r="F3" s="173">
        <v>2530738058</v>
      </c>
      <c r="G3" s="173">
        <v>2139715532</v>
      </c>
      <c r="H3" s="173">
        <v>391022526</v>
      </c>
      <c r="I3" s="173">
        <v>2530738058</v>
      </c>
      <c r="J3" s="173"/>
      <c r="K3" s="173"/>
      <c r="L3" s="31"/>
      <c r="M3" s="31"/>
      <c r="N3" s="136"/>
      <c r="O3" s="136"/>
      <c r="P3" s="136"/>
      <c r="Q3" s="31"/>
      <c r="R3" s="31"/>
      <c r="S3" s="136"/>
      <c r="T3" s="136"/>
      <c r="U3" s="136"/>
      <c r="V3" s="430"/>
    </row>
    <row r="4" spans="1:22" s="37" customFormat="1" ht="30" customHeight="1" x14ac:dyDescent="0.25">
      <c r="A4" s="31" t="s">
        <v>376</v>
      </c>
      <c r="B4" s="87"/>
      <c r="C4" s="31" t="s">
        <v>417</v>
      </c>
      <c r="D4" s="173">
        <v>324749399</v>
      </c>
      <c r="E4" s="173">
        <v>57308718</v>
      </c>
      <c r="F4" s="173">
        <v>382058117</v>
      </c>
      <c r="G4" s="173">
        <v>295658982</v>
      </c>
      <c r="H4" s="173">
        <v>52175115</v>
      </c>
      <c r="I4" s="173">
        <v>347834097</v>
      </c>
      <c r="J4" s="173"/>
      <c r="K4" s="173"/>
      <c r="L4" s="106" t="s">
        <v>604</v>
      </c>
      <c r="M4" s="31"/>
      <c r="N4" s="136"/>
      <c r="O4" s="136"/>
      <c r="P4" s="136"/>
      <c r="Q4" s="31"/>
      <c r="R4" s="31"/>
      <c r="S4" s="136"/>
      <c r="T4" s="136"/>
      <c r="U4" s="136"/>
      <c r="V4" s="430"/>
    </row>
    <row r="5" spans="1:22" ht="22.5" customHeight="1" x14ac:dyDescent="0.25">
      <c r="A5" s="22" t="s">
        <v>419</v>
      </c>
      <c r="B5" s="24"/>
      <c r="C5" s="22" t="s">
        <v>418</v>
      </c>
      <c r="D5" s="171">
        <f t="shared" ref="D5:I5" si="0">D7+D13+D16+D24+D26</f>
        <v>324749399</v>
      </c>
      <c r="E5" s="171">
        <f t="shared" si="0"/>
        <v>57308718</v>
      </c>
      <c r="F5" s="171">
        <f t="shared" si="0"/>
        <v>382058117</v>
      </c>
      <c r="G5" s="172">
        <f t="shared" si="0"/>
        <v>295658982</v>
      </c>
      <c r="H5" s="172">
        <f t="shared" si="0"/>
        <v>52175115</v>
      </c>
      <c r="I5" s="172">
        <f t="shared" si="0"/>
        <v>347834097</v>
      </c>
      <c r="J5" s="251">
        <f>J7+J13+J16+J24+J26+J27+J29</f>
        <v>295658982</v>
      </c>
      <c r="K5" s="285" t="s">
        <v>630</v>
      </c>
      <c r="L5" s="115">
        <f>D5-G5</f>
        <v>29090417</v>
      </c>
      <c r="M5" s="22"/>
      <c r="N5" s="137"/>
      <c r="O5" s="137"/>
      <c r="P5" s="137"/>
      <c r="Q5" s="22"/>
      <c r="R5" s="22"/>
      <c r="S5" s="137"/>
      <c r="T5" s="137"/>
      <c r="U5" s="137"/>
      <c r="V5" s="431"/>
    </row>
    <row r="6" spans="1:22" ht="28.5" customHeight="1" x14ac:dyDescent="0.25">
      <c r="A6" s="21" t="s">
        <v>401</v>
      </c>
      <c r="B6" s="19"/>
      <c r="C6" s="21"/>
      <c r="D6" s="174">
        <f>D5-D4</f>
        <v>0</v>
      </c>
      <c r="E6" s="174">
        <f t="shared" ref="E6:I6" si="1">E5-E4</f>
        <v>0</v>
      </c>
      <c r="F6" s="174">
        <f t="shared" si="1"/>
        <v>0</v>
      </c>
      <c r="G6" s="174">
        <f t="shared" si="1"/>
        <v>0</v>
      </c>
      <c r="H6" s="174">
        <f t="shared" si="1"/>
        <v>0</v>
      </c>
      <c r="I6" s="174">
        <f t="shared" si="1"/>
        <v>0</v>
      </c>
      <c r="J6" s="174"/>
      <c r="K6" s="174"/>
      <c r="L6" s="21"/>
      <c r="M6" s="21"/>
      <c r="N6" s="138"/>
      <c r="O6" s="138"/>
      <c r="P6" s="138"/>
      <c r="Q6" s="21"/>
      <c r="R6" s="21"/>
      <c r="S6" s="138"/>
      <c r="T6" s="138"/>
      <c r="U6" s="138"/>
      <c r="V6" s="431"/>
    </row>
    <row r="7" spans="1:22" ht="41.25" customHeight="1" x14ac:dyDescent="0.25">
      <c r="A7" s="22" t="s">
        <v>439</v>
      </c>
      <c r="B7" s="24"/>
      <c r="C7" s="22" t="s">
        <v>402</v>
      </c>
      <c r="D7" s="171">
        <f>SUM(D8:D12)</f>
        <v>172746152</v>
      </c>
      <c r="E7" s="171">
        <f>SUM(E8:E12)</f>
        <v>30484615</v>
      </c>
      <c r="F7" s="171">
        <f>SUM(F8:F12)</f>
        <v>203230767</v>
      </c>
      <c r="G7" s="171">
        <f>SUM(G8:G12)</f>
        <v>172746152</v>
      </c>
      <c r="H7" s="171">
        <f>I7-G7</f>
        <v>30484615</v>
      </c>
      <c r="I7" s="171">
        <f>SUM(I8:I12)</f>
        <v>203230767</v>
      </c>
      <c r="J7" s="278">
        <f>J8+J11</f>
        <v>172746152</v>
      </c>
      <c r="K7" s="281" t="s">
        <v>630</v>
      </c>
      <c r="L7" s="22"/>
      <c r="M7" s="22"/>
      <c r="N7" s="137"/>
      <c r="O7" s="137"/>
      <c r="P7" s="137"/>
      <c r="Q7" s="22"/>
      <c r="R7" s="22"/>
      <c r="S7" s="137"/>
      <c r="T7" s="137"/>
      <c r="U7" s="137"/>
      <c r="V7" s="431"/>
    </row>
    <row r="8" spans="1:22" ht="52.5" customHeight="1" x14ac:dyDescent="0.25">
      <c r="A8" s="464" t="s">
        <v>547</v>
      </c>
      <c r="B8" s="494" t="s">
        <v>64</v>
      </c>
      <c r="C8" s="464" t="s">
        <v>65</v>
      </c>
      <c r="D8" s="500">
        <v>154896152</v>
      </c>
      <c r="E8" s="500">
        <v>27334615</v>
      </c>
      <c r="F8" s="500">
        <v>182230767</v>
      </c>
      <c r="G8" s="500">
        <v>154896152</v>
      </c>
      <c r="H8" s="500">
        <v>27334615</v>
      </c>
      <c r="I8" s="500">
        <v>182230767</v>
      </c>
      <c r="J8" s="515">
        <f>G8</f>
        <v>154896152</v>
      </c>
      <c r="K8" s="553" t="s">
        <v>630</v>
      </c>
      <c r="L8" s="149" t="s">
        <v>305</v>
      </c>
      <c r="M8" s="21" t="s">
        <v>516</v>
      </c>
      <c r="N8" s="138">
        <v>323</v>
      </c>
      <c r="O8" s="138">
        <v>323</v>
      </c>
      <c r="P8" s="138">
        <f>O8</f>
        <v>323</v>
      </c>
      <c r="Q8" s="81" t="s">
        <v>306</v>
      </c>
      <c r="R8" s="21" t="s">
        <v>530</v>
      </c>
      <c r="S8" s="138">
        <v>1230</v>
      </c>
      <c r="T8" s="138">
        <v>1230</v>
      </c>
      <c r="U8" s="138">
        <f>T8</f>
        <v>1230</v>
      </c>
      <c r="V8" s="431"/>
    </row>
    <row r="9" spans="1:22" ht="46.5" customHeight="1" x14ac:dyDescent="0.25">
      <c r="A9" s="465"/>
      <c r="B9" s="506"/>
      <c r="C9" s="465"/>
      <c r="D9" s="502"/>
      <c r="E9" s="502"/>
      <c r="F9" s="502"/>
      <c r="G9" s="502"/>
      <c r="H9" s="502"/>
      <c r="I9" s="502"/>
      <c r="J9" s="516"/>
      <c r="K9" s="554"/>
      <c r="L9" s="153" t="s">
        <v>494</v>
      </c>
      <c r="M9" s="21" t="s">
        <v>516</v>
      </c>
      <c r="N9" s="138">
        <v>323</v>
      </c>
      <c r="O9" s="138">
        <v>323</v>
      </c>
      <c r="P9" s="138">
        <f>O9</f>
        <v>323</v>
      </c>
      <c r="Q9" s="21"/>
      <c r="R9" s="21"/>
      <c r="S9" s="138"/>
      <c r="T9" s="138"/>
      <c r="U9" s="138"/>
      <c r="V9" s="431"/>
    </row>
    <row r="10" spans="1:22" ht="73.5" customHeight="1" x14ac:dyDescent="0.25">
      <c r="A10" s="466"/>
      <c r="B10" s="495"/>
      <c r="C10" s="466"/>
      <c r="D10" s="501"/>
      <c r="E10" s="501"/>
      <c r="F10" s="501"/>
      <c r="G10" s="501"/>
      <c r="H10" s="501"/>
      <c r="I10" s="501"/>
      <c r="J10" s="517"/>
      <c r="K10" s="555"/>
      <c r="L10" s="185" t="s">
        <v>680</v>
      </c>
      <c r="M10" s="21" t="s">
        <v>515</v>
      </c>
      <c r="N10" s="138">
        <v>129</v>
      </c>
      <c r="O10" s="138">
        <v>129</v>
      </c>
      <c r="P10" s="138">
        <f>O10</f>
        <v>129</v>
      </c>
      <c r="Q10" s="23" t="s">
        <v>681</v>
      </c>
      <c r="R10" s="21" t="s">
        <v>515</v>
      </c>
      <c r="S10" s="138">
        <v>129</v>
      </c>
      <c r="T10" s="138">
        <v>129</v>
      </c>
      <c r="U10" s="138">
        <f>T10</f>
        <v>129</v>
      </c>
      <c r="V10" s="431"/>
    </row>
    <row r="11" spans="1:22" ht="57.75" customHeight="1" x14ac:dyDescent="0.25">
      <c r="A11" s="464" t="s">
        <v>549</v>
      </c>
      <c r="B11" s="494" t="s">
        <v>62</v>
      </c>
      <c r="C11" s="464" t="s">
        <v>63</v>
      </c>
      <c r="D11" s="500">
        <v>17850000</v>
      </c>
      <c r="E11" s="500">
        <f t="shared" ref="E11:E25" si="2">F11-D11</f>
        <v>3150000</v>
      </c>
      <c r="F11" s="500">
        <f t="shared" ref="F11" si="3">ROUND(D11*100/85,0)</f>
        <v>21000000</v>
      </c>
      <c r="G11" s="500">
        <v>17850000</v>
      </c>
      <c r="H11" s="500">
        <v>3150000</v>
      </c>
      <c r="I11" s="500">
        <v>21000000</v>
      </c>
      <c r="J11" s="500">
        <f>G11</f>
        <v>17850000</v>
      </c>
      <c r="K11" s="553" t="s">
        <v>630</v>
      </c>
      <c r="L11" s="149" t="s">
        <v>305</v>
      </c>
      <c r="M11" s="21" t="s">
        <v>516</v>
      </c>
      <c r="N11" s="138">
        <v>300</v>
      </c>
      <c r="O11" s="138">
        <v>300</v>
      </c>
      <c r="P11" s="138">
        <f>O11</f>
        <v>300</v>
      </c>
      <c r="Q11" s="89" t="s">
        <v>613</v>
      </c>
      <c r="R11" s="21" t="s">
        <v>516</v>
      </c>
      <c r="S11" s="138">
        <v>75</v>
      </c>
      <c r="T11" s="138">
        <v>75</v>
      </c>
      <c r="U11" s="138">
        <f>T11</f>
        <v>75</v>
      </c>
      <c r="V11" s="431"/>
    </row>
    <row r="12" spans="1:22" ht="41.25" customHeight="1" x14ac:dyDescent="0.25">
      <c r="A12" s="466"/>
      <c r="B12" s="495"/>
      <c r="C12" s="466"/>
      <c r="D12" s="501"/>
      <c r="E12" s="501"/>
      <c r="F12" s="501"/>
      <c r="G12" s="501"/>
      <c r="H12" s="501"/>
      <c r="I12" s="501"/>
      <c r="J12" s="501"/>
      <c r="K12" s="555"/>
      <c r="L12" s="157" t="s">
        <v>310</v>
      </c>
      <c r="M12" s="21" t="s">
        <v>516</v>
      </c>
      <c r="N12" s="138">
        <v>300</v>
      </c>
      <c r="O12" s="138">
        <v>300</v>
      </c>
      <c r="P12" s="138">
        <f>O12</f>
        <v>300</v>
      </c>
      <c r="Q12" s="81" t="s">
        <v>306</v>
      </c>
      <c r="R12" s="21" t="s">
        <v>530</v>
      </c>
      <c r="S12" s="138">
        <v>150</v>
      </c>
      <c r="T12" s="138">
        <v>150</v>
      </c>
      <c r="U12" s="138">
        <f>T12</f>
        <v>150</v>
      </c>
      <c r="V12" s="431"/>
    </row>
    <row r="13" spans="1:22" ht="37.5" customHeight="1" x14ac:dyDescent="0.25">
      <c r="A13" s="22" t="s">
        <v>440</v>
      </c>
      <c r="B13" s="24"/>
      <c r="C13" s="22" t="s">
        <v>406</v>
      </c>
      <c r="D13" s="171">
        <f>SUM(D14:D15)</f>
        <v>47244956</v>
      </c>
      <c r="E13" s="171">
        <f>SUM(E14:E15)</f>
        <v>8337346</v>
      </c>
      <c r="F13" s="171">
        <f>SUM(F14:F15)</f>
        <v>55582302</v>
      </c>
      <c r="G13" s="171">
        <f>SUM(G14:G15)</f>
        <v>36396582</v>
      </c>
      <c r="H13" s="171">
        <f>I13-G13</f>
        <v>6422927</v>
      </c>
      <c r="I13" s="171">
        <f>SUM(I14:I15)</f>
        <v>42819509</v>
      </c>
      <c r="J13" s="250">
        <f>SUM(J14:J15)</f>
        <v>28983285</v>
      </c>
      <c r="K13" s="285" t="s">
        <v>631</v>
      </c>
      <c r="L13" s="22"/>
      <c r="M13" s="22"/>
      <c r="N13" s="137"/>
      <c r="O13" s="137"/>
      <c r="P13" s="137"/>
      <c r="Q13" s="22"/>
      <c r="R13" s="22"/>
      <c r="S13" s="137"/>
      <c r="T13" s="137"/>
      <c r="U13" s="137"/>
      <c r="V13" s="431"/>
    </row>
    <row r="14" spans="1:22" ht="104.25" customHeight="1" x14ac:dyDescent="0.25">
      <c r="A14" s="21" t="s">
        <v>477</v>
      </c>
      <c r="B14" s="90">
        <v>139</v>
      </c>
      <c r="C14" s="23" t="s">
        <v>261</v>
      </c>
      <c r="D14" s="168">
        <v>16253615</v>
      </c>
      <c r="E14" s="168">
        <f t="shared" si="2"/>
        <v>2868285</v>
      </c>
      <c r="F14" s="168">
        <f t="shared" ref="F14" si="4">ROUND(D14*100/85,0)</f>
        <v>19121900</v>
      </c>
      <c r="G14" s="169">
        <v>10053942</v>
      </c>
      <c r="H14" s="169">
        <f>I14-G14</f>
        <v>1774226</v>
      </c>
      <c r="I14" s="169">
        <v>11828168</v>
      </c>
      <c r="J14" s="283">
        <f>G14-7413297</f>
        <v>2640645</v>
      </c>
      <c r="K14" s="271" t="s">
        <v>742</v>
      </c>
      <c r="L14" s="160" t="s">
        <v>588</v>
      </c>
      <c r="M14" s="23" t="s">
        <v>520</v>
      </c>
      <c r="N14" s="139">
        <v>8810</v>
      </c>
      <c r="O14" s="140">
        <f>N14*I14/F14</f>
        <v>5449.5714379847195</v>
      </c>
      <c r="P14" s="378">
        <f>O14*J14/0.85/I14</f>
        <v>1431.3174299994189</v>
      </c>
      <c r="Q14" s="213" t="s">
        <v>587</v>
      </c>
      <c r="R14" s="23" t="s">
        <v>526</v>
      </c>
      <c r="S14" s="139">
        <v>1785</v>
      </c>
      <c r="T14" s="140">
        <f>S14*I14/F14</f>
        <v>1104.1413185928177</v>
      </c>
      <c r="U14" s="378">
        <f>T14*J14/0.85/I14</f>
        <v>290.00018303620453</v>
      </c>
      <c r="V14" s="21" t="s">
        <v>751</v>
      </c>
    </row>
    <row r="15" spans="1:22" ht="69.75" customHeight="1" x14ac:dyDescent="0.25">
      <c r="A15" s="21" t="s">
        <v>478</v>
      </c>
      <c r="B15" s="90">
        <v>146</v>
      </c>
      <c r="C15" s="23" t="s">
        <v>268</v>
      </c>
      <c r="D15" s="168">
        <v>30991341</v>
      </c>
      <c r="E15" s="168">
        <v>5469061</v>
      </c>
      <c r="F15" s="168">
        <v>36460402</v>
      </c>
      <c r="G15" s="169">
        <v>26342640</v>
      </c>
      <c r="H15" s="169">
        <f>I15-G15</f>
        <v>4648701</v>
      </c>
      <c r="I15" s="169">
        <v>30991341</v>
      </c>
      <c r="J15" s="189">
        <f>G15</f>
        <v>26342640</v>
      </c>
      <c r="K15" s="276" t="s">
        <v>630</v>
      </c>
      <c r="L15" s="185" t="s">
        <v>680</v>
      </c>
      <c r="M15" s="23" t="s">
        <v>515</v>
      </c>
      <c r="N15" s="139">
        <v>5504</v>
      </c>
      <c r="O15" s="140">
        <f>ROUND(N15*I15/F15,0)</f>
        <v>4678</v>
      </c>
      <c r="P15" s="145">
        <f>O15*J15/0.85/I15</f>
        <v>4678.0000266374218</v>
      </c>
      <c r="Q15" s="23" t="s">
        <v>681</v>
      </c>
      <c r="R15" s="23" t="s">
        <v>515</v>
      </c>
      <c r="S15" s="139">
        <v>1156</v>
      </c>
      <c r="T15" s="140">
        <f>S15*I15/F15</f>
        <v>982.59997780605931</v>
      </c>
      <c r="U15" s="145">
        <f>T15*J15/0.85/I15</f>
        <v>982.59998340117056</v>
      </c>
      <c r="V15" s="21" t="s">
        <v>751</v>
      </c>
    </row>
    <row r="16" spans="1:22" ht="39.75" customHeight="1" x14ac:dyDescent="0.25">
      <c r="A16" s="22" t="s">
        <v>457</v>
      </c>
      <c r="B16" s="24"/>
      <c r="C16" s="22" t="s">
        <v>405</v>
      </c>
      <c r="D16" s="171">
        <f>SUM(D17:D23)</f>
        <v>85208291</v>
      </c>
      <c r="E16" s="171">
        <f>SUM(E17:E23)</f>
        <v>15036757</v>
      </c>
      <c r="F16" s="171">
        <f>SUM(F17:F23)</f>
        <v>100245048</v>
      </c>
      <c r="G16" s="172">
        <f>SUM(G17:G23)</f>
        <v>66966248</v>
      </c>
      <c r="H16" s="172">
        <f>I16-G16</f>
        <v>11817573</v>
      </c>
      <c r="I16" s="172">
        <f>SUM(I17:I23)</f>
        <v>78783821</v>
      </c>
      <c r="J16" s="251">
        <f>SUM(J17:J23)</f>
        <v>34749798</v>
      </c>
      <c r="K16" s="285" t="s">
        <v>631</v>
      </c>
      <c r="L16" s="22"/>
      <c r="M16" s="22"/>
      <c r="N16" s="137"/>
      <c r="O16" s="137"/>
      <c r="P16" s="137"/>
      <c r="Q16" s="22"/>
      <c r="R16" s="22"/>
      <c r="S16" s="137"/>
      <c r="T16" s="137"/>
      <c r="U16" s="137"/>
      <c r="V16" s="431"/>
    </row>
    <row r="17" spans="1:22" ht="76.5" customHeight="1" x14ac:dyDescent="0.25">
      <c r="A17" s="464" t="s">
        <v>443</v>
      </c>
      <c r="B17" s="90" t="s">
        <v>116</v>
      </c>
      <c r="C17" s="23" t="s">
        <v>117</v>
      </c>
      <c r="D17" s="168">
        <v>6842500</v>
      </c>
      <c r="E17" s="168">
        <f t="shared" si="2"/>
        <v>1207500</v>
      </c>
      <c r="F17" s="168">
        <f t="shared" ref="F17:F22" si="5">ROUND(D17*100/85,0)</f>
        <v>8050000</v>
      </c>
      <c r="G17" s="169">
        <v>5075585</v>
      </c>
      <c r="H17" s="169">
        <f>I17-G17</f>
        <v>895691</v>
      </c>
      <c r="I17" s="169">
        <v>5971276</v>
      </c>
      <c r="J17" s="270">
        <f>G17-1516000</f>
        <v>3559585</v>
      </c>
      <c r="K17" s="271" t="s">
        <v>671</v>
      </c>
      <c r="L17" s="23" t="s">
        <v>584</v>
      </c>
      <c r="M17" s="23" t="s">
        <v>517</v>
      </c>
      <c r="N17" s="139">
        <v>5</v>
      </c>
      <c r="O17" s="140">
        <v>3</v>
      </c>
      <c r="P17" s="378">
        <f>O17*J17/0.85/I17</f>
        <v>2.103945819364335</v>
      </c>
      <c r="Q17" s="216" t="s">
        <v>330</v>
      </c>
      <c r="R17" s="23" t="s">
        <v>531</v>
      </c>
      <c r="S17" s="139">
        <v>10500</v>
      </c>
      <c r="T17" s="140">
        <f>S17*I17/F17</f>
        <v>7788.6208695652176</v>
      </c>
      <c r="U17" s="378">
        <f>T17*J17/0.85/I17</f>
        <v>5462.2787723785168</v>
      </c>
      <c r="V17" s="21" t="s">
        <v>751</v>
      </c>
    </row>
    <row r="18" spans="1:22" ht="69" customHeight="1" x14ac:dyDescent="0.25">
      <c r="A18" s="465"/>
      <c r="B18" s="90" t="s">
        <v>118</v>
      </c>
      <c r="C18" s="21" t="s">
        <v>119</v>
      </c>
      <c r="D18" s="167">
        <v>15810000</v>
      </c>
      <c r="E18" s="167">
        <f t="shared" si="2"/>
        <v>2790000</v>
      </c>
      <c r="F18" s="167">
        <f t="shared" si="5"/>
        <v>18600000</v>
      </c>
      <c r="G18" s="167">
        <v>15810000</v>
      </c>
      <c r="H18" s="167">
        <v>2790000</v>
      </c>
      <c r="I18" s="167">
        <v>18600000</v>
      </c>
      <c r="J18" s="167">
        <f>G18</f>
        <v>15810000</v>
      </c>
      <c r="K18" s="282" t="s">
        <v>630</v>
      </c>
      <c r="L18" s="23" t="s">
        <v>584</v>
      </c>
      <c r="M18" s="21" t="s">
        <v>517</v>
      </c>
      <c r="N18" s="138">
        <v>20</v>
      </c>
      <c r="O18" s="138">
        <v>20</v>
      </c>
      <c r="P18" s="138">
        <f>O18</f>
        <v>20</v>
      </c>
      <c r="Q18" s="216" t="s">
        <v>330</v>
      </c>
      <c r="R18" s="21" t="s">
        <v>531</v>
      </c>
      <c r="S18" s="138">
        <v>22760</v>
      </c>
      <c r="T18" s="138">
        <v>22760</v>
      </c>
      <c r="U18" s="138">
        <f>T18</f>
        <v>22760</v>
      </c>
      <c r="V18" s="431"/>
    </row>
    <row r="19" spans="1:22" ht="75" customHeight="1" x14ac:dyDescent="0.25">
      <c r="A19" s="466"/>
      <c r="B19" s="90" t="s">
        <v>126</v>
      </c>
      <c r="C19" s="23" t="s">
        <v>127</v>
      </c>
      <c r="D19" s="168">
        <v>12665000</v>
      </c>
      <c r="E19" s="168">
        <f t="shared" si="2"/>
        <v>2235000</v>
      </c>
      <c r="F19" s="168">
        <f t="shared" si="5"/>
        <v>14900000</v>
      </c>
      <c r="G19" s="169">
        <v>9394560</v>
      </c>
      <c r="H19" s="169">
        <f>I19-G19</f>
        <v>1657864</v>
      </c>
      <c r="I19" s="169">
        <v>11052424</v>
      </c>
      <c r="J19" s="270">
        <f>G19-2815597</f>
        <v>6578963</v>
      </c>
      <c r="K19" s="271" t="s">
        <v>670</v>
      </c>
      <c r="L19" s="23" t="s">
        <v>584</v>
      </c>
      <c r="M19" s="23" t="s">
        <v>517</v>
      </c>
      <c r="N19" s="139">
        <v>5</v>
      </c>
      <c r="O19" s="140">
        <v>3</v>
      </c>
      <c r="P19" s="378">
        <f>O19*J19/0.85/I19</f>
        <v>2.1008847843481853</v>
      </c>
      <c r="Q19" s="216" t="s">
        <v>330</v>
      </c>
      <c r="R19" s="23" t="s">
        <v>531</v>
      </c>
      <c r="S19" s="139">
        <v>5685</v>
      </c>
      <c r="T19" s="140">
        <f>S19*I19/F19</f>
        <v>4216.9819087248325</v>
      </c>
      <c r="U19" s="378">
        <f>T19*J19/0.85/I19</f>
        <v>2953.1310426371892</v>
      </c>
      <c r="V19" s="21" t="s">
        <v>751</v>
      </c>
    </row>
    <row r="20" spans="1:22" ht="59.25" customHeight="1" x14ac:dyDescent="0.25">
      <c r="A20" s="464" t="s">
        <v>444</v>
      </c>
      <c r="B20" s="90" t="s">
        <v>186</v>
      </c>
      <c r="C20" s="21" t="s">
        <v>663</v>
      </c>
      <c r="D20" s="167">
        <v>13863500</v>
      </c>
      <c r="E20" s="167">
        <f t="shared" si="2"/>
        <v>2446500</v>
      </c>
      <c r="F20" s="167">
        <f t="shared" si="5"/>
        <v>16310000</v>
      </c>
      <c r="G20" s="167">
        <v>13863500</v>
      </c>
      <c r="H20" s="167">
        <v>2446500</v>
      </c>
      <c r="I20" s="167">
        <v>16310000</v>
      </c>
      <c r="J20" s="406">
        <f>G20-8763500</f>
        <v>5100000</v>
      </c>
      <c r="K20" s="460" t="s">
        <v>747</v>
      </c>
      <c r="L20" s="92" t="s">
        <v>344</v>
      </c>
      <c r="M20" s="21" t="s">
        <v>519</v>
      </c>
      <c r="N20" s="138">
        <v>2300</v>
      </c>
      <c r="O20" s="138">
        <v>2300</v>
      </c>
      <c r="P20" s="374">
        <f>O20*J20/0.85/I20</f>
        <v>846.10668301655426</v>
      </c>
      <c r="Q20" s="219" t="s">
        <v>341</v>
      </c>
      <c r="R20" s="21" t="s">
        <v>526</v>
      </c>
      <c r="S20" s="142">
        <v>301963</v>
      </c>
      <c r="T20" s="138">
        <v>301963</v>
      </c>
      <c r="U20" s="374">
        <f>T20*J20/0.85/I20</f>
        <v>111083.87492335991</v>
      </c>
      <c r="V20" s="21" t="s">
        <v>751</v>
      </c>
    </row>
    <row r="21" spans="1:22" ht="53.25" customHeight="1" x14ac:dyDescent="0.25">
      <c r="A21" s="466"/>
      <c r="B21" s="90" t="s">
        <v>194</v>
      </c>
      <c r="C21" s="21" t="s">
        <v>642</v>
      </c>
      <c r="D21" s="167">
        <v>701250</v>
      </c>
      <c r="E21" s="167">
        <f t="shared" si="2"/>
        <v>123750</v>
      </c>
      <c r="F21" s="167">
        <f t="shared" si="5"/>
        <v>825000</v>
      </c>
      <c r="G21" s="167">
        <v>701250</v>
      </c>
      <c r="H21" s="167">
        <v>123750</v>
      </c>
      <c r="I21" s="167">
        <v>825000</v>
      </c>
      <c r="J21" s="461">
        <f>G21</f>
        <v>701250</v>
      </c>
      <c r="K21" s="462" t="s">
        <v>630</v>
      </c>
      <c r="L21" s="164" t="s">
        <v>615</v>
      </c>
      <c r="M21" s="21" t="s">
        <v>522</v>
      </c>
      <c r="N21" s="138">
        <v>66</v>
      </c>
      <c r="O21" s="138">
        <v>66</v>
      </c>
      <c r="P21" s="428">
        <f>O21*J21/0.85/I21</f>
        <v>66</v>
      </c>
      <c r="Q21" s="28"/>
      <c r="R21" s="21"/>
      <c r="S21" s="138"/>
      <c r="T21" s="138"/>
      <c r="U21" s="138"/>
      <c r="V21" s="449"/>
    </row>
    <row r="22" spans="1:22" ht="59.25" customHeight="1" x14ac:dyDescent="0.25">
      <c r="A22" s="464" t="s">
        <v>445</v>
      </c>
      <c r="B22" s="494" t="s">
        <v>118</v>
      </c>
      <c r="C22" s="496" t="s">
        <v>119</v>
      </c>
      <c r="D22" s="498">
        <v>35326041</v>
      </c>
      <c r="E22" s="498">
        <f t="shared" si="2"/>
        <v>6234007</v>
      </c>
      <c r="F22" s="498">
        <f t="shared" si="5"/>
        <v>41560048</v>
      </c>
      <c r="G22" s="492">
        <v>22121353</v>
      </c>
      <c r="H22" s="492">
        <f>I22-G22</f>
        <v>3903768</v>
      </c>
      <c r="I22" s="492">
        <v>26025121</v>
      </c>
      <c r="J22" s="529">
        <f>G22-19121353</f>
        <v>3000000</v>
      </c>
      <c r="K22" s="556" t="s">
        <v>695</v>
      </c>
      <c r="L22" s="23" t="s">
        <v>584</v>
      </c>
      <c r="M22" s="23" t="s">
        <v>517</v>
      </c>
      <c r="N22" s="139">
        <v>20</v>
      </c>
      <c r="O22" s="140">
        <v>12</v>
      </c>
      <c r="P22" s="378">
        <f>O22*J22/0.85/I22</f>
        <v>1.6273869073066209</v>
      </c>
      <c r="Q22" s="216" t="s">
        <v>330</v>
      </c>
      <c r="R22" s="23" t="s">
        <v>531</v>
      </c>
      <c r="S22" s="143">
        <v>22760</v>
      </c>
      <c r="T22" s="141">
        <f>S22*I22/F22</f>
        <v>14252.431901907332</v>
      </c>
      <c r="U22" s="377">
        <f>T22*J22/0.85/I22</f>
        <v>1932.8517562035993</v>
      </c>
      <c r="V22" s="21" t="s">
        <v>751</v>
      </c>
    </row>
    <row r="23" spans="1:22" ht="49.5" customHeight="1" x14ac:dyDescent="0.25">
      <c r="A23" s="466"/>
      <c r="B23" s="495"/>
      <c r="C23" s="497"/>
      <c r="D23" s="499"/>
      <c r="E23" s="499"/>
      <c r="F23" s="499"/>
      <c r="G23" s="493"/>
      <c r="H23" s="493"/>
      <c r="I23" s="493"/>
      <c r="J23" s="530"/>
      <c r="K23" s="557"/>
      <c r="L23" s="176" t="s">
        <v>682</v>
      </c>
      <c r="M23" s="23" t="s">
        <v>532</v>
      </c>
      <c r="N23" s="139">
        <v>4000</v>
      </c>
      <c r="O23" s="141">
        <f>N23*I22/F22</f>
        <v>2504.8210723914467</v>
      </c>
      <c r="P23" s="378">
        <f>O23*J22/0.85/I22</f>
        <v>339.69275152963081</v>
      </c>
      <c r="Q23" s="23"/>
      <c r="R23" s="23"/>
      <c r="S23" s="139"/>
      <c r="T23" s="140"/>
      <c r="U23" s="140"/>
      <c r="V23" s="21" t="s">
        <v>751</v>
      </c>
    </row>
    <row r="24" spans="1:22" ht="60" customHeight="1" x14ac:dyDescent="0.25">
      <c r="A24" s="22" t="s">
        <v>441</v>
      </c>
      <c r="B24" s="24"/>
      <c r="C24" s="22" t="s">
        <v>404</v>
      </c>
      <c r="D24" s="171">
        <f>SUM(D25)</f>
        <v>19550000</v>
      </c>
      <c r="E24" s="171">
        <f t="shared" ref="E24:J24" si="6">SUM(E25)</f>
        <v>3450000</v>
      </c>
      <c r="F24" s="171">
        <f t="shared" si="6"/>
        <v>23000000</v>
      </c>
      <c r="G24" s="171">
        <f t="shared" si="6"/>
        <v>19550000</v>
      </c>
      <c r="H24" s="171">
        <f>I24-G24</f>
        <v>3450000</v>
      </c>
      <c r="I24" s="171">
        <f t="shared" si="6"/>
        <v>23000000</v>
      </c>
      <c r="J24" s="250">
        <f t="shared" si="6"/>
        <v>0</v>
      </c>
      <c r="K24" s="285" t="s">
        <v>631</v>
      </c>
      <c r="L24" s="386"/>
      <c r="M24" s="22"/>
      <c r="N24" s="137"/>
      <c r="O24" s="137"/>
      <c r="P24" s="137"/>
      <c r="Q24" s="22"/>
      <c r="R24" s="22"/>
      <c r="S24" s="137"/>
      <c r="T24" s="137"/>
      <c r="U24" s="137"/>
      <c r="V24" s="431"/>
    </row>
    <row r="25" spans="1:22" ht="84" customHeight="1" x14ac:dyDescent="0.25">
      <c r="A25" s="21" t="s">
        <v>441</v>
      </c>
      <c r="B25" s="90" t="s">
        <v>168</v>
      </c>
      <c r="C25" s="21" t="s">
        <v>169</v>
      </c>
      <c r="D25" s="167">
        <v>19550000</v>
      </c>
      <c r="E25" s="167">
        <f t="shared" si="2"/>
        <v>3450000</v>
      </c>
      <c r="F25" s="167">
        <f>ROUND(D25*100/85,0)</f>
        <v>23000000</v>
      </c>
      <c r="G25" s="167">
        <v>19550000</v>
      </c>
      <c r="H25" s="167">
        <v>3450000</v>
      </c>
      <c r="I25" s="167">
        <v>23000000</v>
      </c>
      <c r="J25" s="406">
        <f>G25-17976247-1573753</f>
        <v>0</v>
      </c>
      <c r="K25" s="254" t="s">
        <v>739</v>
      </c>
      <c r="L25" s="178" t="s">
        <v>336</v>
      </c>
      <c r="M25" s="21" t="s">
        <v>518</v>
      </c>
      <c r="N25" s="138">
        <v>57</v>
      </c>
      <c r="O25" s="138">
        <v>57</v>
      </c>
      <c r="P25" s="374">
        <v>0</v>
      </c>
      <c r="Q25" s="178" t="s">
        <v>586</v>
      </c>
      <c r="R25" s="21" t="s">
        <v>518</v>
      </c>
      <c r="S25" s="138">
        <v>29</v>
      </c>
      <c r="T25" s="138">
        <v>29</v>
      </c>
      <c r="U25" s="374">
        <v>0</v>
      </c>
      <c r="V25" s="21" t="s">
        <v>751</v>
      </c>
    </row>
    <row r="26" spans="1:22" ht="72.75" customHeight="1" x14ac:dyDescent="0.25">
      <c r="A26" s="22" t="s">
        <v>466</v>
      </c>
      <c r="B26" s="24"/>
      <c r="C26" s="22" t="s">
        <v>407</v>
      </c>
      <c r="D26" s="175">
        <f t="shared" ref="D26:I26" si="7">SUM(D32:D32)</f>
        <v>0</v>
      </c>
      <c r="E26" s="175">
        <f t="shared" si="7"/>
        <v>0</v>
      </c>
      <c r="F26" s="175">
        <f t="shared" si="7"/>
        <v>0</v>
      </c>
      <c r="G26" s="175">
        <f t="shared" si="7"/>
        <v>0</v>
      </c>
      <c r="H26" s="175">
        <f t="shared" si="7"/>
        <v>0</v>
      </c>
      <c r="I26" s="175">
        <f t="shared" si="7"/>
        <v>0</v>
      </c>
      <c r="J26" s="175">
        <v>0</v>
      </c>
      <c r="K26" s="175"/>
      <c r="L26" s="22"/>
      <c r="M26" s="22"/>
      <c r="N26" s="137"/>
      <c r="O26" s="137"/>
      <c r="P26" s="137"/>
      <c r="Q26" s="22"/>
      <c r="R26" s="22"/>
      <c r="S26" s="137"/>
      <c r="T26" s="137"/>
      <c r="U26" s="137"/>
      <c r="V26" s="431"/>
    </row>
    <row r="27" spans="1:22" ht="49.5" customHeight="1" x14ac:dyDescent="0.25">
      <c r="A27" s="343" t="s">
        <v>667</v>
      </c>
      <c r="B27" s="22"/>
      <c r="C27" s="343" t="s">
        <v>668</v>
      </c>
      <c r="D27" s="347"/>
      <c r="E27" s="347"/>
      <c r="F27" s="347"/>
      <c r="G27" s="347"/>
      <c r="H27" s="347"/>
      <c r="I27" s="347"/>
      <c r="J27" s="351">
        <f>J28</f>
        <v>41203500</v>
      </c>
      <c r="K27" s="352" t="s">
        <v>673</v>
      </c>
      <c r="L27" s="22"/>
      <c r="M27" s="22"/>
      <c r="N27" s="22"/>
      <c r="O27" s="22"/>
      <c r="P27" s="22"/>
      <c r="Q27" s="22"/>
      <c r="R27" s="22"/>
      <c r="S27" s="137"/>
      <c r="T27" s="137"/>
      <c r="U27" s="234"/>
      <c r="V27" s="431"/>
    </row>
    <row r="28" spans="1:22" s="292" customFormat="1" ht="177.75" customHeight="1" x14ac:dyDescent="0.25">
      <c r="A28" s="290" t="s">
        <v>700</v>
      </c>
      <c r="B28" s="344">
        <v>127</v>
      </c>
      <c r="C28" s="280" t="s">
        <v>249</v>
      </c>
      <c r="D28" s="347"/>
      <c r="E28" s="347"/>
      <c r="F28" s="347"/>
      <c r="G28" s="347"/>
      <c r="H28" s="347"/>
      <c r="I28" s="347"/>
      <c r="J28" s="350">
        <f>19121353+7413297+4331597+1573753+8763500</f>
        <v>41203500</v>
      </c>
      <c r="K28" s="463" t="s">
        <v>748</v>
      </c>
      <c r="L28" s="345" t="s">
        <v>590</v>
      </c>
      <c r="M28" s="290" t="s">
        <v>694</v>
      </c>
      <c r="N28" s="320"/>
      <c r="O28" s="348"/>
      <c r="P28" s="339">
        <v>25290</v>
      </c>
      <c r="Q28" s="345" t="s">
        <v>356</v>
      </c>
      <c r="R28" s="290" t="s">
        <v>526</v>
      </c>
      <c r="S28" s="341"/>
      <c r="T28" s="341"/>
      <c r="U28" s="339">
        <v>37700</v>
      </c>
      <c r="V28" s="450" t="s">
        <v>760</v>
      </c>
    </row>
    <row r="29" spans="1:22" s="292" customFormat="1" ht="56.25" customHeight="1" x14ac:dyDescent="0.25">
      <c r="A29" s="343" t="s">
        <v>672</v>
      </c>
      <c r="B29" s="349"/>
      <c r="C29" s="343" t="s">
        <v>669</v>
      </c>
      <c r="D29" s="347"/>
      <c r="E29" s="347"/>
      <c r="F29" s="347"/>
      <c r="G29" s="347"/>
      <c r="H29" s="347"/>
      <c r="I29" s="347"/>
      <c r="J29" s="353">
        <f>J30</f>
        <v>17976247</v>
      </c>
      <c r="K29" s="352" t="s">
        <v>673</v>
      </c>
      <c r="L29" s="343"/>
      <c r="M29" s="22"/>
      <c r="N29" s="22"/>
      <c r="O29" s="128"/>
      <c r="P29" s="128"/>
      <c r="Q29" s="343"/>
      <c r="R29" s="22"/>
      <c r="S29" s="137"/>
      <c r="T29" s="137"/>
      <c r="U29" s="234"/>
      <c r="V29" s="439"/>
    </row>
    <row r="30" spans="1:22" s="292" customFormat="1" ht="152.25" customHeight="1" x14ac:dyDescent="0.25">
      <c r="A30" s="290" t="s">
        <v>672</v>
      </c>
      <c r="B30" s="404" t="s">
        <v>150</v>
      </c>
      <c r="C30" s="405" t="s">
        <v>151</v>
      </c>
      <c r="D30" s="347"/>
      <c r="E30" s="347"/>
      <c r="F30" s="347"/>
      <c r="G30" s="347"/>
      <c r="H30" s="347"/>
      <c r="I30" s="347"/>
      <c r="J30" s="350">
        <v>17976247</v>
      </c>
      <c r="K30" s="346" t="s">
        <v>738</v>
      </c>
      <c r="L30" s="354" t="s">
        <v>336</v>
      </c>
      <c r="M30" s="290" t="s">
        <v>518</v>
      </c>
      <c r="N30" s="320"/>
      <c r="O30" s="348"/>
      <c r="P30" s="399">
        <v>5.6</v>
      </c>
      <c r="Q30" s="354" t="s">
        <v>586</v>
      </c>
      <c r="R30" s="290" t="s">
        <v>518</v>
      </c>
      <c r="S30" s="341"/>
      <c r="T30" s="341"/>
      <c r="U30" s="399">
        <v>7.3</v>
      </c>
      <c r="V30" s="434" t="s">
        <v>756</v>
      </c>
    </row>
    <row r="31" spans="1:22" s="292" customFormat="1" ht="23.25" customHeight="1" x14ac:dyDescent="0.25">
      <c r="B31" s="287"/>
      <c r="D31" s="294"/>
      <c r="E31" s="294"/>
      <c r="F31" s="294"/>
      <c r="G31" s="294"/>
      <c r="H31" s="294"/>
      <c r="I31" s="294"/>
      <c r="J31" s="294"/>
      <c r="K31" s="294"/>
      <c r="N31" s="301"/>
      <c r="O31" s="301"/>
      <c r="P31" s="301"/>
      <c r="S31" s="301"/>
      <c r="T31" s="301"/>
      <c r="U31" s="301"/>
    </row>
    <row r="32" spans="1:22" ht="20.25" customHeight="1" x14ac:dyDescent="0.25">
      <c r="S32" s="144"/>
      <c r="T32" s="144"/>
      <c r="U32" s="144"/>
    </row>
    <row r="33" spans="2:21" x14ac:dyDescent="0.25">
      <c r="L33" s="292"/>
      <c r="M33" s="292"/>
      <c r="N33" s="287"/>
      <c r="O33" s="287"/>
      <c r="P33" s="287"/>
      <c r="Q33" s="417" t="s">
        <v>715</v>
      </c>
      <c r="R33" s="301">
        <f>U10+U15</f>
        <v>1111.5999834011704</v>
      </c>
      <c r="S33" s="287"/>
      <c r="T33" s="287"/>
      <c r="U33" s="287"/>
    </row>
    <row r="34" spans="2:21" x14ac:dyDescent="0.25">
      <c r="L34" s="418" t="s">
        <v>701</v>
      </c>
      <c r="M34" s="419">
        <f>P10+P15</f>
        <v>4807.0000266374218</v>
      </c>
      <c r="N34" s="287"/>
      <c r="O34" s="287"/>
      <c r="P34" s="287"/>
      <c r="Q34" s="417" t="s">
        <v>723</v>
      </c>
      <c r="R34" s="301">
        <f>U8+U12</f>
        <v>1380</v>
      </c>
      <c r="S34" s="287"/>
      <c r="T34" s="287"/>
      <c r="U34" s="287"/>
    </row>
    <row r="35" spans="2:21" x14ac:dyDescent="0.25">
      <c r="B35" s="395"/>
      <c r="C35" s="18"/>
      <c r="L35" s="418" t="s">
        <v>723</v>
      </c>
      <c r="M35" s="419">
        <f>P8+P11</f>
        <v>623</v>
      </c>
      <c r="N35" s="287"/>
      <c r="O35" s="287"/>
      <c r="P35" s="287"/>
      <c r="Q35" s="417" t="s">
        <v>716</v>
      </c>
      <c r="R35" s="420">
        <f>U11</f>
        <v>75</v>
      </c>
      <c r="S35" s="287"/>
      <c r="T35" s="287"/>
      <c r="U35" s="287"/>
    </row>
    <row r="36" spans="2:21" x14ac:dyDescent="0.25">
      <c r="B36" s="395"/>
      <c r="L36" s="418" t="s">
        <v>724</v>
      </c>
      <c r="M36" s="419">
        <f>P9</f>
        <v>323</v>
      </c>
      <c r="N36" s="287"/>
      <c r="O36" s="287"/>
      <c r="P36" s="287"/>
      <c r="Q36" s="417" t="s">
        <v>720</v>
      </c>
      <c r="R36" s="420">
        <f>U14</f>
        <v>290.00018303620453</v>
      </c>
      <c r="S36" s="287"/>
      <c r="T36" s="287"/>
      <c r="U36" s="287"/>
    </row>
    <row r="37" spans="2:21" x14ac:dyDescent="0.25">
      <c r="L37" s="418" t="s">
        <v>704</v>
      </c>
      <c r="M37" s="419">
        <f>P12</f>
        <v>300</v>
      </c>
      <c r="N37" s="287"/>
      <c r="O37" s="287"/>
      <c r="P37" s="287"/>
      <c r="Q37" s="417" t="s">
        <v>717</v>
      </c>
      <c r="R37" s="420">
        <f>U17+U18+U19+U22</f>
        <v>33108.2615712193</v>
      </c>
      <c r="S37" s="287"/>
      <c r="T37" s="287"/>
      <c r="U37" s="287"/>
    </row>
    <row r="38" spans="2:21" x14ac:dyDescent="0.25">
      <c r="L38" s="418" t="s">
        <v>710</v>
      </c>
      <c r="M38" s="419">
        <f>P14</f>
        <v>1431.3174299994189</v>
      </c>
      <c r="N38" s="287"/>
      <c r="O38" s="287"/>
      <c r="P38" s="287"/>
      <c r="Q38" s="417" t="s">
        <v>719</v>
      </c>
      <c r="R38" s="420">
        <f>U20</f>
        <v>111083.87492335991</v>
      </c>
      <c r="S38" s="287"/>
      <c r="T38" s="287"/>
      <c r="U38" s="287"/>
    </row>
    <row r="39" spans="2:21" x14ac:dyDescent="0.25">
      <c r="L39" s="418" t="s">
        <v>707</v>
      </c>
      <c r="M39" s="419">
        <f>P17+P18+P19+P22</f>
        <v>25.832217511019142</v>
      </c>
      <c r="N39" s="287"/>
      <c r="O39" s="287"/>
      <c r="P39" s="287"/>
      <c r="Q39" s="417" t="s">
        <v>718</v>
      </c>
      <c r="R39" s="421">
        <f>U30</f>
        <v>7.3</v>
      </c>
      <c r="S39" s="422"/>
      <c r="T39" s="287"/>
      <c r="U39" s="287"/>
    </row>
    <row r="40" spans="2:21" x14ac:dyDescent="0.25">
      <c r="L40" s="418" t="s">
        <v>709</v>
      </c>
      <c r="M40" s="419">
        <f>P20</f>
        <v>846.10668301655426</v>
      </c>
      <c r="N40" s="287"/>
      <c r="O40" s="287"/>
      <c r="P40" s="287"/>
      <c r="Q40" s="415" t="s">
        <v>728</v>
      </c>
      <c r="R40" s="416">
        <f>U28</f>
        <v>37700</v>
      </c>
      <c r="S40" s="369" t="s">
        <v>706</v>
      </c>
      <c r="T40" s="287"/>
      <c r="U40" s="287"/>
    </row>
    <row r="41" spans="2:21" x14ac:dyDescent="0.25">
      <c r="L41" s="418" t="s">
        <v>712</v>
      </c>
      <c r="M41" s="419">
        <f>P21</f>
        <v>66</v>
      </c>
      <c r="N41" s="422"/>
      <c r="O41" s="287"/>
      <c r="P41" s="287"/>
      <c r="T41" s="287"/>
      <c r="U41" s="287"/>
    </row>
    <row r="42" spans="2:21" x14ac:dyDescent="0.25">
      <c r="L42" s="418" t="s">
        <v>711</v>
      </c>
      <c r="M42" s="419">
        <f>P23</f>
        <v>339.69275152963081</v>
      </c>
      <c r="N42" s="422"/>
      <c r="O42" s="287"/>
      <c r="P42" s="287"/>
      <c r="Q42" s="417"/>
      <c r="R42" s="292"/>
      <c r="S42" s="422"/>
      <c r="T42" s="287"/>
      <c r="U42" s="287"/>
    </row>
    <row r="43" spans="2:21" x14ac:dyDescent="0.25">
      <c r="L43" s="418" t="s">
        <v>708</v>
      </c>
      <c r="M43" s="423">
        <f>P30</f>
        <v>5.6</v>
      </c>
      <c r="N43" s="422"/>
      <c r="O43" s="287"/>
      <c r="P43" s="287"/>
      <c r="Q43" s="417"/>
      <c r="R43" s="292"/>
      <c r="S43" s="287"/>
      <c r="T43" s="287"/>
      <c r="U43" s="287"/>
    </row>
    <row r="44" spans="2:21" x14ac:dyDescent="0.25">
      <c r="L44" s="414" t="s">
        <v>727</v>
      </c>
      <c r="M44" s="414">
        <f>P28</f>
        <v>25290</v>
      </c>
      <c r="N44" s="369" t="s">
        <v>706</v>
      </c>
      <c r="O44" s="287"/>
      <c r="P44" s="287"/>
      <c r="Q44" s="417"/>
      <c r="R44" s="292"/>
      <c r="S44" s="287"/>
      <c r="T44" s="287"/>
      <c r="U44" s="287"/>
    </row>
    <row r="45" spans="2:21" x14ac:dyDescent="0.25">
      <c r="O45" s="287"/>
      <c r="P45" s="287"/>
      <c r="Q45" s="417"/>
      <c r="R45" s="292"/>
      <c r="S45" s="287"/>
      <c r="T45" s="287"/>
      <c r="U45" s="287"/>
    </row>
    <row r="46" spans="2:21" x14ac:dyDescent="0.25">
      <c r="L46" s="292"/>
      <c r="M46" s="292"/>
      <c r="N46" s="287"/>
      <c r="O46" s="287"/>
      <c r="P46" s="287"/>
      <c r="Q46" s="417"/>
      <c r="R46" s="292"/>
      <c r="S46" s="287"/>
      <c r="T46" s="287"/>
      <c r="U46" s="287"/>
    </row>
    <row r="47" spans="2:21" x14ac:dyDescent="0.25">
      <c r="L47" s="292"/>
      <c r="M47" s="292"/>
      <c r="N47" s="287"/>
      <c r="O47" s="287"/>
      <c r="P47" s="287"/>
      <c r="Q47" s="417"/>
      <c r="R47" s="292"/>
      <c r="S47" s="287"/>
      <c r="T47" s="287"/>
      <c r="U47" s="287"/>
    </row>
    <row r="48" spans="2:21" x14ac:dyDescent="0.25">
      <c r="L48" s="292"/>
      <c r="M48" s="292"/>
      <c r="N48" s="287"/>
      <c r="O48" s="287"/>
      <c r="P48" s="287"/>
      <c r="Q48" s="417"/>
      <c r="R48" s="292"/>
      <c r="S48" s="287"/>
      <c r="T48" s="287"/>
      <c r="U48" s="287"/>
    </row>
    <row r="49" spans="12:21" x14ac:dyDescent="0.25">
      <c r="L49" s="292"/>
      <c r="M49" s="292"/>
      <c r="N49" s="287"/>
      <c r="O49" s="287"/>
      <c r="P49" s="287"/>
      <c r="Q49" s="417"/>
      <c r="R49" s="292"/>
      <c r="S49" s="287"/>
      <c r="T49" s="287"/>
      <c r="U49" s="287"/>
    </row>
    <row r="50" spans="12:21" x14ac:dyDescent="0.25">
      <c r="L50" s="292"/>
      <c r="M50" s="292"/>
      <c r="N50" s="287"/>
      <c r="O50" s="287"/>
      <c r="P50" s="287"/>
      <c r="Q50" s="292"/>
      <c r="R50" s="292"/>
      <c r="S50" s="287"/>
      <c r="T50" s="287"/>
      <c r="U50" s="287"/>
    </row>
  </sheetData>
  <autoFilter ref="A2:S32" xr:uid="{E78BEB7C-FDD5-4337-B86F-5C7EFD6A05E7}"/>
  <mergeCells count="35">
    <mergeCell ref="I8:I10"/>
    <mergeCell ref="A11:A12"/>
    <mergeCell ref="B11:B12"/>
    <mergeCell ref="C11:C12"/>
    <mergeCell ref="D11:D12"/>
    <mergeCell ref="E11:E12"/>
    <mergeCell ref="F11:F12"/>
    <mergeCell ref="A8:A10"/>
    <mergeCell ref="B8:B10"/>
    <mergeCell ref="C8:C10"/>
    <mergeCell ref="D8:D10"/>
    <mergeCell ref="E8:E10"/>
    <mergeCell ref="F8:F10"/>
    <mergeCell ref="G8:G10"/>
    <mergeCell ref="H8:H10"/>
    <mergeCell ref="G22:G23"/>
    <mergeCell ref="H22:H23"/>
    <mergeCell ref="I22:I23"/>
    <mergeCell ref="G11:G12"/>
    <mergeCell ref="H11:H12"/>
    <mergeCell ref="I11:I12"/>
    <mergeCell ref="E22:E23"/>
    <mergeCell ref="F22:F23"/>
    <mergeCell ref="A17:A19"/>
    <mergeCell ref="A22:A23"/>
    <mergeCell ref="B22:B23"/>
    <mergeCell ref="C22:C23"/>
    <mergeCell ref="D22:D23"/>
    <mergeCell ref="A20:A21"/>
    <mergeCell ref="J22:J23"/>
    <mergeCell ref="J8:J10"/>
    <mergeCell ref="K8:K10"/>
    <mergeCell ref="J11:J12"/>
    <mergeCell ref="K11:K12"/>
    <mergeCell ref="K22:K23"/>
  </mergeCells>
  <pageMargins left="0.25" right="0.25" top="0.75" bottom="0.75" header="0.3" footer="0.3"/>
  <pageSetup paperSize="9" scale="6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D539C-7E60-40B8-8A54-66835FE169B0}">
  <sheetPr>
    <tabColor rgb="FF00B0F0"/>
  </sheetPr>
  <dimension ref="A1:X59"/>
  <sheetViews>
    <sheetView topLeftCell="I22" zoomScaleNormal="100" workbookViewId="0">
      <selection activeCell="K18" sqref="K18:L18"/>
    </sheetView>
  </sheetViews>
  <sheetFormatPr defaultRowHeight="15" x14ac:dyDescent="0.25"/>
  <cols>
    <col min="1" max="1" width="35.42578125" style="14" customWidth="1"/>
    <col min="2" max="2" width="15.7109375" style="13" customWidth="1"/>
    <col min="3" max="3" width="26.42578125" style="14" customWidth="1"/>
    <col min="4" max="4" width="18.7109375" style="15" customWidth="1"/>
    <col min="5" max="5" width="17.28515625" style="15" customWidth="1"/>
    <col min="6" max="6" width="19.5703125" style="15" customWidth="1"/>
    <col min="7" max="7" width="18.85546875" style="15" customWidth="1"/>
    <col min="8" max="8" width="17" style="15" customWidth="1"/>
    <col min="9" max="9" width="18.42578125" style="15" customWidth="1"/>
    <col min="10" max="10" width="15.42578125" style="266" customWidth="1"/>
    <col min="11" max="11" width="22.42578125" style="15" customWidth="1"/>
    <col min="12" max="12" width="31.5703125" style="15" customWidth="1"/>
    <col min="13" max="13" width="32.28515625" style="14" customWidth="1"/>
    <col min="14" max="14" width="13.85546875" style="14" customWidth="1"/>
    <col min="15" max="15" width="10.85546875" style="13" customWidth="1"/>
    <col min="16" max="17" width="12.140625" style="13" customWidth="1"/>
    <col min="18" max="18" width="31" style="14" customWidth="1"/>
    <col min="19" max="19" width="14.140625" style="14" customWidth="1"/>
    <col min="20" max="20" width="10.28515625" style="13" customWidth="1"/>
    <col min="21" max="21" width="12.42578125" style="13" customWidth="1"/>
    <col min="22" max="22" width="12.5703125" style="13" customWidth="1"/>
    <col min="23" max="23" width="37.42578125" style="14" customWidth="1"/>
    <col min="24" max="24" width="14.42578125" style="14" bestFit="1" customWidth="1"/>
    <col min="25" max="16384" width="9.140625" style="14"/>
  </cols>
  <sheetData>
    <row r="1" spans="1:24" ht="19.5" customHeight="1" x14ac:dyDescent="0.25">
      <c r="G1" s="330" t="s">
        <v>649</v>
      </c>
      <c r="H1" s="331"/>
      <c r="I1" s="332"/>
      <c r="K1" s="333" t="s">
        <v>650</v>
      </c>
      <c r="L1" s="334"/>
    </row>
    <row r="2" spans="1:24" s="42" customFormat="1" ht="60" x14ac:dyDescent="0.25">
      <c r="A2" s="34" t="s">
        <v>377</v>
      </c>
      <c r="B2" s="87" t="s">
        <v>378</v>
      </c>
      <c r="C2" s="34" t="s">
        <v>379</v>
      </c>
      <c r="D2" s="38" t="s">
        <v>411</v>
      </c>
      <c r="E2" s="38" t="s">
        <v>412</v>
      </c>
      <c r="F2" s="38" t="s">
        <v>413</v>
      </c>
      <c r="G2" s="39" t="s">
        <v>507</v>
      </c>
      <c r="H2" s="39" t="s">
        <v>508</v>
      </c>
      <c r="I2" s="39" t="s">
        <v>509</v>
      </c>
      <c r="J2" s="259" t="s">
        <v>626</v>
      </c>
      <c r="K2" s="257" t="s">
        <v>627</v>
      </c>
      <c r="L2" s="257" t="s">
        <v>628</v>
      </c>
      <c r="M2" s="34" t="s">
        <v>385</v>
      </c>
      <c r="N2" s="40" t="s">
        <v>514</v>
      </c>
      <c r="O2" s="34">
        <v>2029</v>
      </c>
      <c r="P2" s="40" t="s">
        <v>646</v>
      </c>
      <c r="Q2" s="257" t="s">
        <v>647</v>
      </c>
      <c r="R2" s="34" t="s">
        <v>386</v>
      </c>
      <c r="S2" s="40" t="s">
        <v>514</v>
      </c>
      <c r="T2" s="34">
        <v>2029</v>
      </c>
      <c r="U2" s="40" t="s">
        <v>646</v>
      </c>
      <c r="V2" s="257" t="s">
        <v>647</v>
      </c>
      <c r="W2" s="208" t="s">
        <v>750</v>
      </c>
    </row>
    <row r="3" spans="1:24" s="37" customFormat="1" ht="19.5" customHeight="1" x14ac:dyDescent="0.25">
      <c r="A3" s="31" t="s">
        <v>572</v>
      </c>
      <c r="B3" s="87"/>
      <c r="C3" s="31" t="s">
        <v>574</v>
      </c>
      <c r="D3" s="173">
        <v>2139715532</v>
      </c>
      <c r="E3" s="173">
        <v>391022526</v>
      </c>
      <c r="F3" s="173">
        <v>2530738058</v>
      </c>
      <c r="G3" s="173">
        <v>2139715532</v>
      </c>
      <c r="H3" s="173">
        <v>391022526</v>
      </c>
      <c r="I3" s="173">
        <v>2530738058</v>
      </c>
      <c r="J3" s="260"/>
      <c r="K3" s="244"/>
      <c r="L3" s="244"/>
      <c r="M3" s="31"/>
      <c r="N3" s="31"/>
      <c r="O3" s="136"/>
      <c r="P3" s="136"/>
      <c r="Q3" s="136"/>
      <c r="R3" s="31"/>
      <c r="S3" s="31"/>
      <c r="T3" s="136"/>
      <c r="U3" s="136"/>
      <c r="V3" s="136"/>
      <c r="W3" s="430"/>
    </row>
    <row r="4" spans="1:24" s="37" customFormat="1" ht="22.5" customHeight="1" x14ac:dyDescent="0.25">
      <c r="A4" s="31" t="s">
        <v>575</v>
      </c>
      <c r="B4" s="87"/>
      <c r="C4" s="31" t="s">
        <v>420</v>
      </c>
      <c r="D4" s="173">
        <v>205330368</v>
      </c>
      <c r="E4" s="173">
        <v>36234771</v>
      </c>
      <c r="F4" s="173">
        <v>241565139</v>
      </c>
      <c r="G4" s="173">
        <v>184857807</v>
      </c>
      <c r="H4" s="173">
        <v>32684941.760000002</v>
      </c>
      <c r="I4" s="173">
        <v>217479773</v>
      </c>
      <c r="J4" s="260"/>
      <c r="K4" s="244"/>
      <c r="L4" s="244"/>
      <c r="M4" s="106" t="s">
        <v>604</v>
      </c>
      <c r="N4" s="31"/>
      <c r="O4" s="136"/>
      <c r="P4" s="136"/>
      <c r="Q4" s="136"/>
      <c r="R4" s="31"/>
      <c r="S4" s="31"/>
      <c r="T4" s="136"/>
      <c r="U4" s="136"/>
      <c r="V4" s="136"/>
      <c r="W4" s="430"/>
    </row>
    <row r="5" spans="1:24" ht="18" customHeight="1" x14ac:dyDescent="0.25">
      <c r="A5" s="22" t="s">
        <v>422</v>
      </c>
      <c r="B5" s="24"/>
      <c r="C5" s="22" t="s">
        <v>421</v>
      </c>
      <c r="D5" s="171">
        <f t="shared" ref="D5:I5" si="0">D7+D16+D19+D28+D30</f>
        <v>205330368</v>
      </c>
      <c r="E5" s="171">
        <f t="shared" si="0"/>
        <v>36234771</v>
      </c>
      <c r="F5" s="171">
        <f t="shared" si="0"/>
        <v>241565139</v>
      </c>
      <c r="G5" s="172">
        <f t="shared" si="0"/>
        <v>184857807</v>
      </c>
      <c r="H5" s="172">
        <f t="shared" si="0"/>
        <v>32684941.760000002</v>
      </c>
      <c r="I5" s="172">
        <f t="shared" si="0"/>
        <v>217479773</v>
      </c>
      <c r="J5" s="261"/>
      <c r="K5" s="251">
        <f>K7+K16+K19+K28+K30</f>
        <v>184857807</v>
      </c>
      <c r="L5" s="300" t="s">
        <v>630</v>
      </c>
      <c r="M5" s="104">
        <f>D5-G5</f>
        <v>20472561</v>
      </c>
      <c r="N5" s="22"/>
      <c r="O5" s="137"/>
      <c r="P5" s="137"/>
      <c r="Q5" s="137"/>
      <c r="R5" s="22"/>
      <c r="S5" s="22"/>
      <c r="T5" s="137"/>
      <c r="U5" s="137"/>
      <c r="V5" s="137"/>
      <c r="W5" s="431"/>
    </row>
    <row r="6" spans="1:24" x14ac:dyDescent="0.25">
      <c r="A6" s="21" t="s">
        <v>401</v>
      </c>
      <c r="B6" s="19"/>
      <c r="C6" s="21"/>
      <c r="D6" s="174">
        <f>D4-D5</f>
        <v>0</v>
      </c>
      <c r="E6" s="174">
        <f t="shared" ref="E6:I6" si="1">E4-E5</f>
        <v>0</v>
      </c>
      <c r="F6" s="174">
        <f t="shared" si="1"/>
        <v>0</v>
      </c>
      <c r="G6" s="174">
        <f t="shared" si="1"/>
        <v>0</v>
      </c>
      <c r="H6" s="174">
        <f t="shared" si="1"/>
        <v>0</v>
      </c>
      <c r="I6" s="174">
        <f t="shared" si="1"/>
        <v>0</v>
      </c>
      <c r="J6" s="262"/>
      <c r="K6" s="174"/>
      <c r="L6" s="174"/>
      <c r="M6" s="21"/>
      <c r="N6" s="21"/>
      <c r="O6" s="138"/>
      <c r="P6" s="138"/>
      <c r="Q6" s="138"/>
      <c r="R6" s="21"/>
      <c r="S6" s="21"/>
      <c r="T6" s="138"/>
      <c r="U6" s="138"/>
      <c r="V6" s="138"/>
      <c r="W6" s="431"/>
    </row>
    <row r="7" spans="1:24" ht="45" x14ac:dyDescent="0.25">
      <c r="A7" s="22" t="s">
        <v>439</v>
      </c>
      <c r="B7" s="24"/>
      <c r="C7" s="22" t="s">
        <v>402</v>
      </c>
      <c r="D7" s="171">
        <f t="shared" ref="D7:I7" si="2">SUM(D8:D15)</f>
        <v>104843463</v>
      </c>
      <c r="E7" s="171">
        <f t="shared" si="2"/>
        <v>18501788</v>
      </c>
      <c r="F7" s="171">
        <f t="shared" si="2"/>
        <v>123345251</v>
      </c>
      <c r="G7" s="171">
        <f t="shared" si="2"/>
        <v>104843463</v>
      </c>
      <c r="H7" s="171">
        <f t="shared" si="2"/>
        <v>18501788</v>
      </c>
      <c r="I7" s="171">
        <f t="shared" si="2"/>
        <v>123345251</v>
      </c>
      <c r="J7" s="261"/>
      <c r="K7" s="250">
        <f>K8+K11+K14</f>
        <v>124918463</v>
      </c>
      <c r="L7" s="300" t="s">
        <v>638</v>
      </c>
      <c r="M7" s="55"/>
      <c r="N7" s="22"/>
      <c r="O7" s="137"/>
      <c r="P7" s="137"/>
      <c r="Q7" s="137"/>
      <c r="R7" s="22"/>
      <c r="S7" s="22"/>
      <c r="T7" s="137"/>
      <c r="U7" s="137"/>
      <c r="V7" s="137"/>
      <c r="W7" s="431"/>
    </row>
    <row r="8" spans="1:24" ht="63" customHeight="1" x14ac:dyDescent="0.25">
      <c r="A8" s="464" t="s">
        <v>547</v>
      </c>
      <c r="B8" s="494" t="s">
        <v>64</v>
      </c>
      <c r="C8" s="464" t="s">
        <v>65</v>
      </c>
      <c r="D8" s="500">
        <v>95918463</v>
      </c>
      <c r="E8" s="500">
        <v>16926788</v>
      </c>
      <c r="F8" s="500">
        <v>112845251</v>
      </c>
      <c r="G8" s="500">
        <v>95918463</v>
      </c>
      <c r="H8" s="500">
        <f>I8-G8</f>
        <v>16926788</v>
      </c>
      <c r="I8" s="500">
        <v>112845251</v>
      </c>
      <c r="J8" s="573">
        <f>G8/I8</f>
        <v>0.84999999689840733</v>
      </c>
      <c r="K8" s="477">
        <f>G8</f>
        <v>95918463</v>
      </c>
      <c r="L8" s="562" t="s">
        <v>630</v>
      </c>
      <c r="M8" s="149" t="s">
        <v>305</v>
      </c>
      <c r="N8" s="21" t="s">
        <v>516</v>
      </c>
      <c r="O8" s="138">
        <v>297</v>
      </c>
      <c r="P8" s="138">
        <v>297</v>
      </c>
      <c r="Q8" s="138">
        <f>P8</f>
        <v>297</v>
      </c>
      <c r="R8" s="81" t="s">
        <v>306</v>
      </c>
      <c r="S8" s="21" t="s">
        <v>530</v>
      </c>
      <c r="T8" s="138">
        <v>1116</v>
      </c>
      <c r="U8" s="138">
        <v>1116</v>
      </c>
      <c r="V8" s="138">
        <f>U8</f>
        <v>1116</v>
      </c>
      <c r="W8" s="451"/>
      <c r="X8" s="18"/>
    </row>
    <row r="9" spans="1:24" ht="54.75" customHeight="1" x14ac:dyDescent="0.25">
      <c r="A9" s="465"/>
      <c r="B9" s="506"/>
      <c r="C9" s="465"/>
      <c r="D9" s="502"/>
      <c r="E9" s="502"/>
      <c r="F9" s="502"/>
      <c r="G9" s="502"/>
      <c r="H9" s="502"/>
      <c r="I9" s="502"/>
      <c r="J9" s="574"/>
      <c r="K9" s="478"/>
      <c r="L9" s="563"/>
      <c r="M9" s="155" t="s">
        <v>494</v>
      </c>
      <c r="N9" s="21" t="s">
        <v>516</v>
      </c>
      <c r="O9" s="138">
        <v>297</v>
      </c>
      <c r="P9" s="138">
        <v>297</v>
      </c>
      <c r="Q9" s="138">
        <f>P9</f>
        <v>297</v>
      </c>
      <c r="R9" s="21"/>
      <c r="S9" s="21"/>
      <c r="T9" s="138"/>
      <c r="U9" s="138"/>
      <c r="V9" s="138"/>
      <c r="W9" s="452"/>
    </row>
    <row r="10" spans="1:24" ht="94.5" customHeight="1" x14ac:dyDescent="0.25">
      <c r="A10" s="465"/>
      <c r="B10" s="495"/>
      <c r="C10" s="466"/>
      <c r="D10" s="501"/>
      <c r="E10" s="501"/>
      <c r="F10" s="501"/>
      <c r="G10" s="501"/>
      <c r="H10" s="501"/>
      <c r="I10" s="501"/>
      <c r="J10" s="575"/>
      <c r="K10" s="479"/>
      <c r="L10" s="564"/>
      <c r="M10" s="185" t="s">
        <v>370</v>
      </c>
      <c r="N10" s="21" t="s">
        <v>515</v>
      </c>
      <c r="O10" s="138">
        <v>60</v>
      </c>
      <c r="P10" s="138">
        <v>60</v>
      </c>
      <c r="Q10" s="138">
        <f>P10</f>
        <v>60</v>
      </c>
      <c r="R10" s="23" t="s">
        <v>681</v>
      </c>
      <c r="S10" s="21" t="s">
        <v>515</v>
      </c>
      <c r="T10" s="138">
        <v>60</v>
      </c>
      <c r="U10" s="138">
        <v>60</v>
      </c>
      <c r="V10" s="138">
        <f>U10</f>
        <v>60</v>
      </c>
      <c r="W10" s="452"/>
    </row>
    <row r="11" spans="1:24" ht="57" customHeight="1" x14ac:dyDescent="0.25">
      <c r="A11" s="465"/>
      <c r="B11" s="509" t="s">
        <v>72</v>
      </c>
      <c r="C11" s="518" t="s">
        <v>497</v>
      </c>
      <c r="D11" s="312"/>
      <c r="E11" s="312"/>
      <c r="F11" s="312"/>
      <c r="G11" s="312"/>
      <c r="H11" s="312"/>
      <c r="I11" s="312"/>
      <c r="J11" s="573">
        <v>0.85</v>
      </c>
      <c r="K11" s="485">
        <v>8500000</v>
      </c>
      <c r="L11" s="570" t="s">
        <v>654</v>
      </c>
      <c r="M11" s="302" t="s">
        <v>305</v>
      </c>
      <c r="N11" s="280" t="s">
        <v>516</v>
      </c>
      <c r="O11" s="311"/>
      <c r="P11" s="325"/>
      <c r="Q11" s="303">
        <v>70</v>
      </c>
      <c r="R11" s="379" t="s">
        <v>639</v>
      </c>
      <c r="S11" s="280" t="s">
        <v>516</v>
      </c>
      <c r="T11" s="314"/>
      <c r="U11" s="314"/>
      <c r="V11" s="339">
        <v>70</v>
      </c>
      <c r="W11" s="576" t="s">
        <v>762</v>
      </c>
      <c r="X11" s="15"/>
    </row>
    <row r="12" spans="1:24" ht="57" customHeight="1" x14ac:dyDescent="0.25">
      <c r="A12" s="465"/>
      <c r="B12" s="510"/>
      <c r="C12" s="519"/>
      <c r="D12" s="383"/>
      <c r="E12" s="383"/>
      <c r="F12" s="383"/>
      <c r="G12" s="383"/>
      <c r="H12" s="383"/>
      <c r="I12" s="383"/>
      <c r="J12" s="574"/>
      <c r="K12" s="486"/>
      <c r="L12" s="571"/>
      <c r="M12" s="288" t="s">
        <v>494</v>
      </c>
      <c r="N12" s="280" t="s">
        <v>516</v>
      </c>
      <c r="O12" s="311"/>
      <c r="P12" s="325"/>
      <c r="Q12" s="303">
        <v>70</v>
      </c>
      <c r="R12" s="305" t="s">
        <v>306</v>
      </c>
      <c r="S12" s="280" t="s">
        <v>530</v>
      </c>
      <c r="T12" s="314"/>
      <c r="U12" s="314"/>
      <c r="V12" s="339">
        <v>120</v>
      </c>
      <c r="W12" s="577"/>
    </row>
    <row r="13" spans="1:24" ht="57.75" customHeight="1" x14ac:dyDescent="0.25">
      <c r="A13" s="466"/>
      <c r="B13" s="511"/>
      <c r="C13" s="520"/>
      <c r="D13" s="313"/>
      <c r="E13" s="313"/>
      <c r="F13" s="313"/>
      <c r="G13" s="313"/>
      <c r="H13" s="313"/>
      <c r="I13" s="313"/>
      <c r="J13" s="575"/>
      <c r="K13" s="569"/>
      <c r="L13" s="572"/>
      <c r="M13" s="304" t="s">
        <v>312</v>
      </c>
      <c r="N13" s="280" t="s">
        <v>516</v>
      </c>
      <c r="O13" s="311"/>
      <c r="P13" s="325"/>
      <c r="Q13" s="303">
        <v>70</v>
      </c>
      <c r="R13" s="21"/>
      <c r="S13" s="21"/>
      <c r="T13" s="21"/>
      <c r="U13" s="21"/>
      <c r="V13" s="21"/>
      <c r="W13" s="578"/>
    </row>
    <row r="14" spans="1:24" ht="73.5" customHeight="1" x14ac:dyDescent="0.25">
      <c r="A14" s="464" t="s">
        <v>549</v>
      </c>
      <c r="B14" s="494" t="s">
        <v>62</v>
      </c>
      <c r="C14" s="464" t="s">
        <v>63</v>
      </c>
      <c r="D14" s="500">
        <v>8925000</v>
      </c>
      <c r="E14" s="500">
        <f t="shared" ref="E14" si="3">F14-D14</f>
        <v>1575000</v>
      </c>
      <c r="F14" s="500">
        <f t="shared" ref="F14" si="4">ROUND(D14*100/85,0)</f>
        <v>10500000</v>
      </c>
      <c r="G14" s="500">
        <v>8925000</v>
      </c>
      <c r="H14" s="500">
        <v>1575000</v>
      </c>
      <c r="I14" s="500">
        <v>10500000</v>
      </c>
      <c r="J14" s="573">
        <f>G14/I14</f>
        <v>0.85</v>
      </c>
      <c r="K14" s="558">
        <f>G14+3797953+7777047</f>
        <v>20500000</v>
      </c>
      <c r="L14" s="560" t="s">
        <v>734</v>
      </c>
      <c r="M14" s="149" t="s">
        <v>305</v>
      </c>
      <c r="N14" s="21" t="s">
        <v>516</v>
      </c>
      <c r="O14" s="138">
        <v>150</v>
      </c>
      <c r="P14" s="138">
        <v>150</v>
      </c>
      <c r="Q14" s="374">
        <f>P14*K14/J14/I14</f>
        <v>344.53781512605048</v>
      </c>
      <c r="R14" s="89" t="s">
        <v>613</v>
      </c>
      <c r="S14" s="21" t="s">
        <v>516</v>
      </c>
      <c r="T14" s="138">
        <v>37</v>
      </c>
      <c r="U14" s="138">
        <v>37</v>
      </c>
      <c r="V14" s="374">
        <v>37</v>
      </c>
      <c r="W14" s="21" t="s">
        <v>752</v>
      </c>
    </row>
    <row r="15" spans="1:24" ht="53.25" customHeight="1" x14ac:dyDescent="0.25">
      <c r="A15" s="466"/>
      <c r="B15" s="495"/>
      <c r="C15" s="466"/>
      <c r="D15" s="501"/>
      <c r="E15" s="501"/>
      <c r="F15" s="501"/>
      <c r="G15" s="501"/>
      <c r="H15" s="501"/>
      <c r="I15" s="501"/>
      <c r="J15" s="575"/>
      <c r="K15" s="559"/>
      <c r="L15" s="561"/>
      <c r="M15" s="157" t="s">
        <v>596</v>
      </c>
      <c r="N15" s="21" t="s">
        <v>516</v>
      </c>
      <c r="O15" s="138">
        <v>150</v>
      </c>
      <c r="P15" s="138">
        <v>150</v>
      </c>
      <c r="Q15" s="374">
        <f>P15*K14/J14/I14</f>
        <v>344.53781512605048</v>
      </c>
      <c r="R15" s="81" t="s">
        <v>306</v>
      </c>
      <c r="S15" s="21" t="s">
        <v>530</v>
      </c>
      <c r="T15" s="138">
        <v>75</v>
      </c>
      <c r="U15" s="138">
        <v>75</v>
      </c>
      <c r="V15" s="374">
        <f>U15*K14/J14/I14</f>
        <v>172.26890756302524</v>
      </c>
      <c r="W15" s="21" t="s">
        <v>751</v>
      </c>
    </row>
    <row r="16" spans="1:24" ht="30" x14ac:dyDescent="0.25">
      <c r="A16" s="22" t="s">
        <v>440</v>
      </c>
      <c r="B16" s="24"/>
      <c r="C16" s="22" t="s">
        <v>406</v>
      </c>
      <c r="D16" s="171">
        <f t="shared" ref="D16:K16" si="5">SUM(D17:D18)</f>
        <v>32495009</v>
      </c>
      <c r="E16" s="171">
        <f t="shared" si="5"/>
        <v>5734413</v>
      </c>
      <c r="F16" s="171">
        <f t="shared" si="5"/>
        <v>38229422</v>
      </c>
      <c r="G16" s="171">
        <f t="shared" si="5"/>
        <v>25314922</v>
      </c>
      <c r="H16" s="171">
        <f t="shared" si="5"/>
        <v>4530314.7600000016</v>
      </c>
      <c r="I16" s="171">
        <f t="shared" si="5"/>
        <v>29782261</v>
      </c>
      <c r="J16" s="261"/>
      <c r="K16" s="251">
        <f t="shared" si="5"/>
        <v>21516969</v>
      </c>
      <c r="L16" s="285" t="s">
        <v>631</v>
      </c>
      <c r="M16" s="386"/>
      <c r="N16" s="22"/>
      <c r="O16" s="137"/>
      <c r="P16" s="137"/>
      <c r="Q16" s="137"/>
      <c r="R16" s="22"/>
      <c r="S16" s="22"/>
      <c r="T16" s="137"/>
      <c r="U16" s="137"/>
      <c r="V16" s="137"/>
      <c r="W16" s="431"/>
    </row>
    <row r="17" spans="1:23" ht="137.25" customHeight="1" x14ac:dyDescent="0.25">
      <c r="A17" s="21" t="s">
        <v>477</v>
      </c>
      <c r="B17" s="90">
        <v>139</v>
      </c>
      <c r="C17" s="23" t="s">
        <v>261</v>
      </c>
      <c r="D17" s="168">
        <v>9963275</v>
      </c>
      <c r="E17" s="168">
        <f t="shared" ref="E17" si="6">F17-D17</f>
        <v>1758225</v>
      </c>
      <c r="F17" s="168">
        <f t="shared" ref="F17" si="7">ROUND(D17*100/85,0)</f>
        <v>11721500</v>
      </c>
      <c r="G17" s="169">
        <v>6162948</v>
      </c>
      <c r="H17" s="169">
        <f t="shared" ref="H17" si="8">I17-G17</f>
        <v>1087579</v>
      </c>
      <c r="I17" s="169">
        <v>7250527</v>
      </c>
      <c r="J17" s="258">
        <f>G17/I17</f>
        <v>0.85000000689605049</v>
      </c>
      <c r="K17" s="246">
        <f>G17-3797953</f>
        <v>2364995</v>
      </c>
      <c r="L17" s="247" t="s">
        <v>652</v>
      </c>
      <c r="M17" s="160" t="s">
        <v>588</v>
      </c>
      <c r="N17" s="23" t="s">
        <v>520</v>
      </c>
      <c r="O17" s="139">
        <v>5286</v>
      </c>
      <c r="P17" s="140">
        <f>O17*I17/F17</f>
        <v>3269.7424153905217</v>
      </c>
      <c r="Q17" s="378">
        <f>P17*K17/J17/I17</f>
        <v>1254.7443956506702</v>
      </c>
      <c r="R17" s="213" t="s">
        <v>587</v>
      </c>
      <c r="S17" s="23" t="s">
        <v>526</v>
      </c>
      <c r="T17" s="139">
        <v>1071</v>
      </c>
      <c r="U17" s="140">
        <f>T17*I17/F17</f>
        <v>662.48470050761421</v>
      </c>
      <c r="V17" s="378">
        <f t="shared" ref="V17:V20" si="9">U17*K17/J17/I17</f>
        <v>254.22460229698592</v>
      </c>
      <c r="W17" s="21" t="s">
        <v>751</v>
      </c>
    </row>
    <row r="18" spans="1:23" ht="75" x14ac:dyDescent="0.25">
      <c r="A18" s="21" t="s">
        <v>478</v>
      </c>
      <c r="B18" s="90">
        <v>146</v>
      </c>
      <c r="C18" s="23" t="s">
        <v>268</v>
      </c>
      <c r="D18" s="168">
        <v>22531734</v>
      </c>
      <c r="E18" s="168">
        <v>3976188</v>
      </c>
      <c r="F18" s="168">
        <v>26507922</v>
      </c>
      <c r="G18" s="169">
        <v>19151974</v>
      </c>
      <c r="H18" s="169">
        <v>3442735.7600000016</v>
      </c>
      <c r="I18" s="169">
        <v>22531734</v>
      </c>
      <c r="J18" s="258">
        <f>G18/I18</f>
        <v>0.8500000044381848</v>
      </c>
      <c r="K18" s="255">
        <f>G18</f>
        <v>19151974</v>
      </c>
      <c r="L18" s="256" t="s">
        <v>630</v>
      </c>
      <c r="M18" s="185" t="s">
        <v>680</v>
      </c>
      <c r="N18" s="23" t="s">
        <v>515</v>
      </c>
      <c r="O18" s="139">
        <v>4018</v>
      </c>
      <c r="P18" s="140">
        <f>O18*I18/F18</f>
        <v>3415.3000454731987</v>
      </c>
      <c r="Q18" s="145">
        <f>P18*K18/J18/I18</f>
        <v>3415.3000454731991</v>
      </c>
      <c r="R18" s="23" t="s">
        <v>681</v>
      </c>
      <c r="S18" s="23" t="s">
        <v>515</v>
      </c>
      <c r="T18" s="139">
        <v>844</v>
      </c>
      <c r="U18" s="140">
        <f>T18*I18/F18</f>
        <v>717.40000955186156</v>
      </c>
      <c r="V18" s="145">
        <f t="shared" si="9"/>
        <v>717.40000955186167</v>
      </c>
      <c r="W18" s="21" t="s">
        <v>751</v>
      </c>
    </row>
    <row r="19" spans="1:23" ht="30" x14ac:dyDescent="0.25">
      <c r="A19" s="22" t="s">
        <v>457</v>
      </c>
      <c r="B19" s="24"/>
      <c r="C19" s="22" t="s">
        <v>405</v>
      </c>
      <c r="D19" s="171">
        <f t="shared" ref="D19:K19" si="10">SUM(D20:D27)</f>
        <v>60214849</v>
      </c>
      <c r="E19" s="171">
        <f t="shared" si="10"/>
        <v>10626150</v>
      </c>
      <c r="F19" s="171">
        <f t="shared" si="10"/>
        <v>70840999</v>
      </c>
      <c r="G19" s="172">
        <f t="shared" si="10"/>
        <v>46922375</v>
      </c>
      <c r="H19" s="172">
        <f t="shared" si="10"/>
        <v>8280419</v>
      </c>
      <c r="I19" s="172">
        <f t="shared" si="10"/>
        <v>55202794</v>
      </c>
      <c r="J19" s="261"/>
      <c r="K19" s="251">
        <f t="shared" si="10"/>
        <v>38422375</v>
      </c>
      <c r="L19" s="300" t="s">
        <v>631</v>
      </c>
      <c r="M19" s="22"/>
      <c r="N19" s="22"/>
      <c r="O19" s="137"/>
      <c r="P19" s="137"/>
      <c r="Q19" s="137"/>
      <c r="R19" s="22"/>
      <c r="S19" s="22"/>
      <c r="T19" s="137"/>
      <c r="U19" s="137"/>
      <c r="V19" s="137"/>
      <c r="W19" s="431"/>
    </row>
    <row r="20" spans="1:23" ht="60" x14ac:dyDescent="0.25">
      <c r="A20" s="464" t="s">
        <v>443</v>
      </c>
      <c r="B20" s="90" t="s">
        <v>116</v>
      </c>
      <c r="C20" s="23" t="s">
        <v>117</v>
      </c>
      <c r="D20" s="168">
        <v>14118500</v>
      </c>
      <c r="E20" s="168">
        <f t="shared" ref="E20:E26" si="11">F20-D20</f>
        <v>2491500</v>
      </c>
      <c r="F20" s="168">
        <f t="shared" ref="F20:F26" si="12">ROUND(D20*100/85,0)</f>
        <v>16610000</v>
      </c>
      <c r="G20" s="169">
        <v>10472727</v>
      </c>
      <c r="H20" s="169">
        <f t="shared" ref="H20" si="13">I20-G20</f>
        <v>1848128</v>
      </c>
      <c r="I20" s="169">
        <v>12320855</v>
      </c>
      <c r="J20" s="258">
        <f>G20/I20</f>
        <v>0.85000002029079957</v>
      </c>
      <c r="K20" s="246">
        <f>G20-3245085</f>
        <v>7227642</v>
      </c>
      <c r="L20" s="247" t="s">
        <v>662</v>
      </c>
      <c r="M20" s="23" t="s">
        <v>584</v>
      </c>
      <c r="N20" s="23" t="s">
        <v>517</v>
      </c>
      <c r="O20" s="139">
        <v>10</v>
      </c>
      <c r="P20" s="140">
        <v>7</v>
      </c>
      <c r="Q20" s="378">
        <f>P20*K20/J20/I20</f>
        <v>4.830976115390003</v>
      </c>
      <c r="R20" s="216" t="s">
        <v>330</v>
      </c>
      <c r="S20" s="23" t="s">
        <v>531</v>
      </c>
      <c r="T20" s="139">
        <v>21000</v>
      </c>
      <c r="U20" s="140">
        <f>T20*I20/F20</f>
        <v>15577.239915713426</v>
      </c>
      <c r="V20" s="378">
        <f t="shared" si="9"/>
        <v>10750.467710930192</v>
      </c>
      <c r="W20" s="21" t="s">
        <v>751</v>
      </c>
    </row>
    <row r="21" spans="1:23" ht="60" x14ac:dyDescent="0.25">
      <c r="A21" s="465"/>
      <c r="B21" s="90" t="s">
        <v>118</v>
      </c>
      <c r="C21" s="21" t="s">
        <v>119</v>
      </c>
      <c r="D21" s="167">
        <v>11857500</v>
      </c>
      <c r="E21" s="167">
        <f t="shared" si="11"/>
        <v>2092500</v>
      </c>
      <c r="F21" s="167">
        <f t="shared" si="12"/>
        <v>13950000</v>
      </c>
      <c r="G21" s="167">
        <v>11857500</v>
      </c>
      <c r="H21" s="167">
        <v>2092500</v>
      </c>
      <c r="I21" s="167">
        <v>13950000</v>
      </c>
      <c r="J21" s="263">
        <f t="shared" ref="J21:J26" si="14">G21/I21</f>
        <v>0.85</v>
      </c>
      <c r="K21" s="255">
        <f>G21</f>
        <v>11857500</v>
      </c>
      <c r="L21" s="256" t="s">
        <v>630</v>
      </c>
      <c r="M21" s="23" t="s">
        <v>584</v>
      </c>
      <c r="N21" s="21" t="s">
        <v>517</v>
      </c>
      <c r="O21" s="138">
        <v>15</v>
      </c>
      <c r="P21" s="138">
        <v>15</v>
      </c>
      <c r="Q21" s="138">
        <f>P21</f>
        <v>15</v>
      </c>
      <c r="R21" s="216" t="s">
        <v>330</v>
      </c>
      <c r="S21" s="21" t="s">
        <v>531</v>
      </c>
      <c r="T21" s="138">
        <v>17070</v>
      </c>
      <c r="U21" s="138">
        <v>17070</v>
      </c>
      <c r="V21" s="138">
        <f>U21</f>
        <v>17070</v>
      </c>
      <c r="W21" s="431"/>
    </row>
    <row r="22" spans="1:23" ht="60" x14ac:dyDescent="0.25">
      <c r="A22" s="466"/>
      <c r="B22" s="90" t="s">
        <v>126</v>
      </c>
      <c r="C22" s="23" t="s">
        <v>127</v>
      </c>
      <c r="D22" s="188">
        <v>0</v>
      </c>
      <c r="E22" s="188">
        <f t="shared" si="11"/>
        <v>0</v>
      </c>
      <c r="F22" s="188">
        <f t="shared" si="12"/>
        <v>0</v>
      </c>
      <c r="G22" s="188">
        <v>0</v>
      </c>
      <c r="H22" s="188">
        <v>0</v>
      </c>
      <c r="I22" s="188">
        <v>0</v>
      </c>
      <c r="J22" s="258"/>
      <c r="K22" s="309">
        <f>G22</f>
        <v>0</v>
      </c>
      <c r="L22" s="326" t="s">
        <v>630</v>
      </c>
      <c r="M22" s="23" t="s">
        <v>584</v>
      </c>
      <c r="N22" s="23" t="s">
        <v>517</v>
      </c>
      <c r="O22" s="139">
        <v>0</v>
      </c>
      <c r="P22" s="139">
        <v>0</v>
      </c>
      <c r="Q22" s="139">
        <v>0</v>
      </c>
      <c r="R22" s="216" t="s">
        <v>330</v>
      </c>
      <c r="S22" s="23" t="s">
        <v>531</v>
      </c>
      <c r="T22" s="139">
        <v>0</v>
      </c>
      <c r="U22" s="139">
        <v>0</v>
      </c>
      <c r="V22" s="139">
        <v>0</v>
      </c>
      <c r="W22" s="431"/>
    </row>
    <row r="23" spans="1:23" ht="79.5" customHeight="1" x14ac:dyDescent="0.25">
      <c r="A23" s="464" t="s">
        <v>444</v>
      </c>
      <c r="B23" s="90" t="s">
        <v>186</v>
      </c>
      <c r="C23" s="252" t="s">
        <v>641</v>
      </c>
      <c r="D23" s="253">
        <v>8313850</v>
      </c>
      <c r="E23" s="253">
        <f t="shared" si="11"/>
        <v>1467150</v>
      </c>
      <c r="F23" s="253">
        <f t="shared" si="12"/>
        <v>9781000</v>
      </c>
      <c r="G23" s="253">
        <v>8313850</v>
      </c>
      <c r="H23" s="253">
        <v>1467150</v>
      </c>
      <c r="I23" s="253">
        <v>9781000</v>
      </c>
      <c r="J23" s="263">
        <f t="shared" si="14"/>
        <v>0.85</v>
      </c>
      <c r="K23" s="249">
        <f>G23-G23</f>
        <v>0</v>
      </c>
      <c r="L23" s="254" t="s">
        <v>653</v>
      </c>
      <c r="M23" s="92" t="s">
        <v>344</v>
      </c>
      <c r="N23" s="21" t="s">
        <v>519</v>
      </c>
      <c r="O23" s="138">
        <v>1380</v>
      </c>
      <c r="P23" s="138">
        <v>1380</v>
      </c>
      <c r="Q23" s="374">
        <v>0</v>
      </c>
      <c r="R23" s="219" t="s">
        <v>341</v>
      </c>
      <c r="S23" s="21" t="s">
        <v>526</v>
      </c>
      <c r="T23" s="138">
        <v>181178</v>
      </c>
      <c r="U23" s="138">
        <v>181178</v>
      </c>
      <c r="V23" s="374">
        <v>0</v>
      </c>
      <c r="W23" s="21" t="s">
        <v>751</v>
      </c>
    </row>
    <row r="24" spans="1:23" ht="49.5" customHeight="1" x14ac:dyDescent="0.25">
      <c r="A24" s="465"/>
      <c r="B24" s="90" t="s">
        <v>194</v>
      </c>
      <c r="C24" s="21" t="s">
        <v>642</v>
      </c>
      <c r="D24" s="167">
        <v>425000</v>
      </c>
      <c r="E24" s="167">
        <f t="shared" si="11"/>
        <v>75000</v>
      </c>
      <c r="F24" s="167">
        <f t="shared" si="12"/>
        <v>500000</v>
      </c>
      <c r="G24" s="167">
        <v>425000</v>
      </c>
      <c r="H24" s="167">
        <v>75000</v>
      </c>
      <c r="I24" s="167">
        <v>500000</v>
      </c>
      <c r="J24" s="263">
        <f t="shared" si="14"/>
        <v>0.85</v>
      </c>
      <c r="K24" s="249">
        <f>G24-G24</f>
        <v>0</v>
      </c>
      <c r="L24" s="254" t="s">
        <v>656</v>
      </c>
      <c r="M24" s="164" t="s">
        <v>615</v>
      </c>
      <c r="N24" s="21" t="s">
        <v>523</v>
      </c>
      <c r="O24" s="138">
        <v>40</v>
      </c>
      <c r="P24" s="138">
        <v>40</v>
      </c>
      <c r="Q24" s="374">
        <v>0</v>
      </c>
      <c r="R24" s="21"/>
      <c r="S24" s="21"/>
      <c r="T24" s="138"/>
      <c r="U24" s="138"/>
      <c r="V24" s="342"/>
      <c r="W24" s="21" t="s">
        <v>751</v>
      </c>
    </row>
    <row r="25" spans="1:23" ht="109.5" customHeight="1" x14ac:dyDescent="0.25">
      <c r="A25" s="466"/>
      <c r="B25" s="295" t="s">
        <v>184</v>
      </c>
      <c r="C25" s="280" t="s">
        <v>640</v>
      </c>
      <c r="D25" s="297"/>
      <c r="E25" s="297"/>
      <c r="F25" s="297"/>
      <c r="G25" s="297"/>
      <c r="H25" s="297"/>
      <c r="I25" s="297"/>
      <c r="J25" s="308">
        <v>0.85</v>
      </c>
      <c r="K25" s="307">
        <f>G23+425000+4011150</f>
        <v>12750000</v>
      </c>
      <c r="L25" s="335" t="s">
        <v>735</v>
      </c>
      <c r="M25" s="288" t="s">
        <v>643</v>
      </c>
      <c r="N25" s="280" t="s">
        <v>693</v>
      </c>
      <c r="O25" s="314"/>
      <c r="P25" s="314"/>
      <c r="Q25" s="306">
        <v>1</v>
      </c>
      <c r="R25" s="289" t="s">
        <v>341</v>
      </c>
      <c r="S25" s="280" t="s">
        <v>526</v>
      </c>
      <c r="T25" s="314"/>
      <c r="U25" s="314"/>
      <c r="V25" s="339">
        <v>26500000</v>
      </c>
      <c r="W25" s="454" t="s">
        <v>761</v>
      </c>
    </row>
    <row r="26" spans="1:23" ht="69.75" customHeight="1" x14ac:dyDescent="0.25">
      <c r="A26" s="464" t="s">
        <v>445</v>
      </c>
      <c r="B26" s="494" t="s">
        <v>118</v>
      </c>
      <c r="C26" s="496" t="s">
        <v>119</v>
      </c>
      <c r="D26" s="498">
        <v>25499999</v>
      </c>
      <c r="E26" s="498">
        <f t="shared" si="11"/>
        <v>4500000</v>
      </c>
      <c r="F26" s="498">
        <f t="shared" si="12"/>
        <v>29999999</v>
      </c>
      <c r="G26" s="492">
        <v>15853298</v>
      </c>
      <c r="H26" s="492">
        <f t="shared" ref="H26" si="15">I26-G26</f>
        <v>2797641</v>
      </c>
      <c r="I26" s="492">
        <v>18650939</v>
      </c>
      <c r="J26" s="475">
        <f t="shared" si="14"/>
        <v>0.84999999195750953</v>
      </c>
      <c r="K26" s="565">
        <f>G26-4011150-5254915</f>
        <v>6587233</v>
      </c>
      <c r="L26" s="567" t="s">
        <v>655</v>
      </c>
      <c r="M26" s="23" t="s">
        <v>584</v>
      </c>
      <c r="N26" s="23" t="s">
        <v>517</v>
      </c>
      <c r="O26" s="139">
        <v>14</v>
      </c>
      <c r="P26" s="140">
        <v>8</v>
      </c>
      <c r="Q26" s="378">
        <f>P26*K26/J26/I26</f>
        <v>3.3240947088738255</v>
      </c>
      <c r="R26" s="216" t="s">
        <v>690</v>
      </c>
      <c r="S26" s="23" t="s">
        <v>531</v>
      </c>
      <c r="T26" s="139">
        <v>15932</v>
      </c>
      <c r="U26" s="140">
        <f>T26*I26/F26</f>
        <v>9904.8923350964105</v>
      </c>
      <c r="V26" s="378">
        <f t="shared" ref="V26" si="16">U26*K26/J26/I26</f>
        <v>4115.6000253823604</v>
      </c>
      <c r="W26" s="21" t="s">
        <v>751</v>
      </c>
    </row>
    <row r="27" spans="1:23" ht="46.5" customHeight="1" x14ac:dyDescent="0.25">
      <c r="A27" s="466"/>
      <c r="B27" s="495"/>
      <c r="C27" s="497"/>
      <c r="D27" s="499"/>
      <c r="E27" s="499"/>
      <c r="F27" s="499"/>
      <c r="G27" s="493"/>
      <c r="H27" s="493"/>
      <c r="I27" s="493"/>
      <c r="J27" s="476"/>
      <c r="K27" s="566"/>
      <c r="L27" s="568"/>
      <c r="M27" s="176" t="s">
        <v>682</v>
      </c>
      <c r="N27" s="23" t="s">
        <v>521</v>
      </c>
      <c r="O27" s="139">
        <v>2800</v>
      </c>
      <c r="P27" s="140">
        <v>1741</v>
      </c>
      <c r="Q27" s="378">
        <f>P27*K26/J26/I26</f>
        <v>723.40611101866625</v>
      </c>
      <c r="R27" s="23"/>
      <c r="S27" s="23"/>
      <c r="T27" s="139"/>
      <c r="U27" s="139"/>
      <c r="V27" s="139"/>
      <c r="W27" s="21" t="s">
        <v>751</v>
      </c>
    </row>
    <row r="28" spans="1:23" ht="75" customHeight="1" x14ac:dyDescent="0.25">
      <c r="A28" s="22" t="s">
        <v>441</v>
      </c>
      <c r="B28" s="24"/>
      <c r="C28" s="22" t="s">
        <v>404</v>
      </c>
      <c r="D28" s="171">
        <f>SUM(D29)</f>
        <v>7777047</v>
      </c>
      <c r="E28" s="171">
        <f t="shared" ref="E28:K28" si="17">SUM(E29)</f>
        <v>1372420</v>
      </c>
      <c r="F28" s="171">
        <f t="shared" si="17"/>
        <v>9149467</v>
      </c>
      <c r="G28" s="171">
        <f t="shared" si="17"/>
        <v>7777047</v>
      </c>
      <c r="H28" s="171">
        <f t="shared" si="17"/>
        <v>1372420</v>
      </c>
      <c r="I28" s="171">
        <f t="shared" si="17"/>
        <v>9149467</v>
      </c>
      <c r="J28" s="261"/>
      <c r="K28" s="250">
        <f t="shared" si="17"/>
        <v>0</v>
      </c>
      <c r="L28" s="300" t="s">
        <v>631</v>
      </c>
      <c r="M28" s="22"/>
      <c r="N28" s="22"/>
      <c r="O28" s="137"/>
      <c r="P28" s="137"/>
      <c r="Q28" s="137"/>
      <c r="R28" s="22"/>
      <c r="S28" s="22"/>
      <c r="T28" s="137"/>
      <c r="U28" s="137"/>
      <c r="V28" s="137"/>
      <c r="W28" s="431"/>
    </row>
    <row r="29" spans="1:23" ht="75" customHeight="1" x14ac:dyDescent="0.25">
      <c r="A29" s="21" t="s">
        <v>441</v>
      </c>
      <c r="B29" s="90" t="s">
        <v>168</v>
      </c>
      <c r="C29" s="21" t="s">
        <v>169</v>
      </c>
      <c r="D29" s="167">
        <v>7777047</v>
      </c>
      <c r="E29" s="167">
        <f>F29-D29</f>
        <v>1372420</v>
      </c>
      <c r="F29" s="167">
        <f>ROUND(D29*100/85,0)</f>
        <v>9149467</v>
      </c>
      <c r="G29" s="167">
        <v>7777047</v>
      </c>
      <c r="H29" s="167">
        <v>1372420</v>
      </c>
      <c r="I29" s="167">
        <v>9149467</v>
      </c>
      <c r="J29" s="264">
        <f>G29/I29</f>
        <v>0.85000000546479926</v>
      </c>
      <c r="K29" s="248">
        <f>G29-G29</f>
        <v>0</v>
      </c>
      <c r="L29" s="254" t="s">
        <v>645</v>
      </c>
      <c r="M29" s="178" t="s">
        <v>336</v>
      </c>
      <c r="N29" s="21" t="s">
        <v>518</v>
      </c>
      <c r="O29" s="138">
        <v>22</v>
      </c>
      <c r="P29" s="327">
        <v>22</v>
      </c>
      <c r="Q29" s="374">
        <v>0</v>
      </c>
      <c r="R29" s="178" t="s">
        <v>586</v>
      </c>
      <c r="S29" s="21" t="s">
        <v>518</v>
      </c>
      <c r="T29" s="138">
        <v>11</v>
      </c>
      <c r="U29" s="327">
        <v>11</v>
      </c>
      <c r="V29" s="374">
        <v>0</v>
      </c>
      <c r="W29" s="21" t="s">
        <v>751</v>
      </c>
    </row>
    <row r="30" spans="1:23" ht="30" x14ac:dyDescent="0.25">
      <c r="A30" s="22" t="s">
        <v>464</v>
      </c>
      <c r="B30" s="24"/>
      <c r="C30" s="22" t="s">
        <v>465</v>
      </c>
      <c r="D30" s="175">
        <v>0</v>
      </c>
      <c r="E30" s="175">
        <v>0</v>
      </c>
      <c r="F30" s="175">
        <v>0</v>
      </c>
      <c r="G30" s="175">
        <v>0</v>
      </c>
      <c r="H30" s="175">
        <v>0</v>
      </c>
      <c r="I30" s="175">
        <v>0</v>
      </c>
      <c r="J30" s="265"/>
      <c r="K30" s="175">
        <v>0</v>
      </c>
      <c r="L30" s="175"/>
      <c r="M30" s="22"/>
      <c r="N30" s="22"/>
      <c r="O30" s="137"/>
      <c r="P30" s="137"/>
      <c r="Q30" s="137"/>
      <c r="R30" s="22"/>
      <c r="S30" s="22"/>
      <c r="T30" s="137"/>
      <c r="U30" s="137"/>
      <c r="V30" s="137"/>
      <c r="W30" s="432"/>
    </row>
    <row r="31" spans="1:23" x14ac:dyDescent="0.25">
      <c r="K31" s="245"/>
      <c r="L31" s="245"/>
    </row>
    <row r="34" spans="2:21" x14ac:dyDescent="0.25">
      <c r="B34" s="395"/>
      <c r="C34" s="396"/>
    </row>
    <row r="35" spans="2:21" x14ac:dyDescent="0.25">
      <c r="M35" s="417" t="s">
        <v>701</v>
      </c>
      <c r="N35" s="420">
        <f>Q10+Q18</f>
        <v>3475.3000454731991</v>
      </c>
      <c r="O35" s="287"/>
      <c r="P35" s="287"/>
      <c r="Q35" s="287"/>
      <c r="R35" s="417" t="s">
        <v>715</v>
      </c>
      <c r="S35" s="301">
        <f>V10+V18</f>
        <v>777.40000955186167</v>
      </c>
      <c r="T35" s="287"/>
      <c r="U35" s="287"/>
    </row>
    <row r="36" spans="2:21" x14ac:dyDescent="0.25">
      <c r="M36" s="417" t="s">
        <v>723</v>
      </c>
      <c r="N36" s="420">
        <f>Q8+Q11+Q14</f>
        <v>711.53781512605042</v>
      </c>
      <c r="O36" s="287"/>
      <c r="P36" s="287"/>
      <c r="Q36" s="287"/>
      <c r="R36" s="417" t="s">
        <v>714</v>
      </c>
      <c r="S36" s="301">
        <f>V8+V12+V15</f>
        <v>1408.2689075630253</v>
      </c>
      <c r="T36" s="287"/>
      <c r="U36" s="287"/>
    </row>
    <row r="37" spans="2:21" x14ac:dyDescent="0.25">
      <c r="M37" s="417" t="s">
        <v>724</v>
      </c>
      <c r="N37" s="420">
        <f>Q9+Q12</f>
        <v>367</v>
      </c>
      <c r="O37" s="287"/>
      <c r="P37" s="287"/>
      <c r="Q37" s="287"/>
      <c r="R37" s="415" t="s">
        <v>721</v>
      </c>
      <c r="S37" s="424">
        <f>V11</f>
        <v>70</v>
      </c>
      <c r="T37" s="425" t="s">
        <v>706</v>
      </c>
      <c r="U37" s="287"/>
    </row>
    <row r="38" spans="2:21" x14ac:dyDescent="0.25">
      <c r="M38" s="417" t="s">
        <v>704</v>
      </c>
      <c r="N38" s="420">
        <f>Q15</f>
        <v>344.53781512605048</v>
      </c>
      <c r="O38" s="287"/>
      <c r="P38" s="287"/>
      <c r="Q38" s="287"/>
      <c r="R38" s="417" t="s">
        <v>716</v>
      </c>
      <c r="S38" s="301">
        <f>V14</f>
        <v>37</v>
      </c>
      <c r="T38" s="287"/>
      <c r="U38" s="287"/>
    </row>
    <row r="39" spans="2:21" x14ac:dyDescent="0.25">
      <c r="M39" s="415" t="s">
        <v>705</v>
      </c>
      <c r="N39" s="416">
        <f>Q13</f>
        <v>70</v>
      </c>
      <c r="O39" s="426" t="s">
        <v>706</v>
      </c>
      <c r="P39" s="287"/>
      <c r="Q39" s="287"/>
      <c r="R39" s="417" t="s">
        <v>720</v>
      </c>
      <c r="S39" s="301">
        <f>V17</f>
        <v>254.22460229698592</v>
      </c>
      <c r="T39" s="287"/>
      <c r="U39" s="287"/>
    </row>
    <row r="40" spans="2:21" x14ac:dyDescent="0.25">
      <c r="M40" s="417" t="s">
        <v>710</v>
      </c>
      <c r="N40" s="420">
        <f>Q17</f>
        <v>1254.7443956506702</v>
      </c>
      <c r="O40" s="287"/>
      <c r="P40" s="287"/>
      <c r="Q40" s="287"/>
      <c r="R40" s="417" t="s">
        <v>717</v>
      </c>
      <c r="S40" s="301">
        <f>V20+V21+V22+V26</f>
        <v>31936.067736312551</v>
      </c>
      <c r="T40" s="287"/>
      <c r="U40" s="287"/>
    </row>
    <row r="41" spans="2:21" x14ac:dyDescent="0.25">
      <c r="M41" s="417" t="s">
        <v>707</v>
      </c>
      <c r="N41" s="420">
        <f>Q20+Q21+Q22+Q26</f>
        <v>23.155070824263827</v>
      </c>
      <c r="O41" s="287"/>
      <c r="P41" s="287"/>
      <c r="Q41" s="287"/>
      <c r="R41" s="417" t="s">
        <v>719</v>
      </c>
      <c r="S41" s="301">
        <f>V23+V25</f>
        <v>26500000</v>
      </c>
      <c r="T41" s="287"/>
      <c r="U41" s="287"/>
    </row>
    <row r="42" spans="2:21" x14ac:dyDescent="0.25">
      <c r="M42" s="417" t="s">
        <v>709</v>
      </c>
      <c r="N42" s="420">
        <f>Q23</f>
        <v>0</v>
      </c>
      <c r="O42" s="287"/>
      <c r="P42" s="287"/>
      <c r="Q42" s="287"/>
      <c r="R42" s="417" t="s">
        <v>718</v>
      </c>
      <c r="S42" s="301">
        <f>V29</f>
        <v>0</v>
      </c>
      <c r="T42" s="287"/>
      <c r="U42" s="287"/>
    </row>
    <row r="43" spans="2:21" x14ac:dyDescent="0.25">
      <c r="M43" s="415" t="s">
        <v>729</v>
      </c>
      <c r="N43" s="420">
        <f>Q25</f>
        <v>1</v>
      </c>
      <c r="O43" s="426" t="s">
        <v>706</v>
      </c>
      <c r="P43" s="287"/>
      <c r="Q43" s="287"/>
      <c r="R43" s="292"/>
      <c r="S43" s="417"/>
      <c r="T43" s="287"/>
      <c r="U43" s="287"/>
    </row>
    <row r="44" spans="2:21" x14ac:dyDescent="0.25">
      <c r="M44" s="417" t="s">
        <v>711</v>
      </c>
      <c r="N44" s="420">
        <f>Q27</f>
        <v>723.40611101866625</v>
      </c>
      <c r="O44" s="287"/>
      <c r="P44" s="287"/>
      <c r="Q44" s="287"/>
      <c r="R44" s="417"/>
      <c r="S44" s="417"/>
      <c r="T44" s="287"/>
      <c r="U44" s="287"/>
    </row>
    <row r="45" spans="2:21" x14ac:dyDescent="0.25">
      <c r="M45" s="417" t="s">
        <v>708</v>
      </c>
      <c r="N45" s="420">
        <f>Q29</f>
        <v>0</v>
      </c>
      <c r="O45" s="287"/>
      <c r="P45" s="287"/>
      <c r="Q45" s="287"/>
      <c r="R45" s="417"/>
      <c r="S45" s="417"/>
      <c r="T45" s="287"/>
      <c r="U45" s="287"/>
    </row>
    <row r="46" spans="2:21" x14ac:dyDescent="0.25">
      <c r="M46" s="417" t="s">
        <v>712</v>
      </c>
      <c r="N46" s="301">
        <f>Q24</f>
        <v>0</v>
      </c>
      <c r="O46" s="287"/>
      <c r="P46" s="287"/>
      <c r="Q46" s="287"/>
      <c r="R46" s="417"/>
      <c r="S46" s="417"/>
      <c r="T46" s="287"/>
      <c r="U46" s="287"/>
    </row>
    <row r="47" spans="2:21" x14ac:dyDescent="0.25">
      <c r="M47" s="292"/>
      <c r="N47" s="292"/>
      <c r="O47" s="287"/>
      <c r="P47" s="287"/>
      <c r="Q47" s="287"/>
      <c r="R47" s="417"/>
      <c r="S47" s="417"/>
      <c r="T47" s="287"/>
      <c r="U47" s="287"/>
    </row>
    <row r="48" spans="2:21" x14ac:dyDescent="0.25">
      <c r="M48" s="292"/>
      <c r="N48" s="292"/>
      <c r="O48" s="287"/>
      <c r="P48" s="287"/>
      <c r="Q48" s="287"/>
      <c r="R48" s="417"/>
      <c r="S48" s="417"/>
      <c r="T48" s="287"/>
      <c r="U48" s="287"/>
    </row>
    <row r="49" spans="13:21" x14ac:dyDescent="0.25">
      <c r="M49" s="292"/>
      <c r="N49" s="292"/>
      <c r="O49" s="287"/>
      <c r="P49" s="287"/>
      <c r="Q49" s="287"/>
      <c r="R49" s="417"/>
      <c r="S49" s="417"/>
      <c r="T49" s="287"/>
      <c r="U49" s="287"/>
    </row>
    <row r="50" spans="13:21" x14ac:dyDescent="0.25">
      <c r="M50" s="292"/>
      <c r="N50" s="292"/>
      <c r="O50" s="287"/>
      <c r="P50" s="287"/>
      <c r="Q50" s="287"/>
      <c r="R50" s="417"/>
      <c r="S50" s="417"/>
      <c r="T50" s="287"/>
      <c r="U50" s="287"/>
    </row>
    <row r="51" spans="13:21" x14ac:dyDescent="0.25">
      <c r="M51" s="292"/>
      <c r="N51" s="292"/>
      <c r="O51" s="287"/>
      <c r="P51" s="287"/>
      <c r="Q51" s="287"/>
      <c r="R51" s="417"/>
      <c r="S51" s="417"/>
      <c r="T51" s="287"/>
      <c r="U51" s="287"/>
    </row>
    <row r="52" spans="13:21" x14ac:dyDescent="0.25">
      <c r="R52" s="118"/>
      <c r="S52" s="118"/>
    </row>
    <row r="53" spans="13:21" x14ac:dyDescent="0.25">
      <c r="R53" s="118"/>
      <c r="S53" s="118"/>
    </row>
    <row r="54" spans="13:21" x14ac:dyDescent="0.25">
      <c r="R54" s="118"/>
      <c r="S54" s="118"/>
    </row>
    <row r="55" spans="13:21" x14ac:dyDescent="0.25">
      <c r="R55" s="118"/>
      <c r="S55" s="118"/>
    </row>
    <row r="56" spans="13:21" x14ac:dyDescent="0.25">
      <c r="R56" s="118"/>
      <c r="S56" s="118"/>
    </row>
    <row r="57" spans="13:21" x14ac:dyDescent="0.25">
      <c r="R57" s="118"/>
      <c r="S57" s="118"/>
    </row>
    <row r="58" spans="13:21" x14ac:dyDescent="0.25">
      <c r="R58" s="118"/>
      <c r="S58" s="118"/>
    </row>
    <row r="59" spans="13:21" x14ac:dyDescent="0.25">
      <c r="R59" s="118"/>
      <c r="S59" s="118"/>
    </row>
  </sheetData>
  <autoFilter ref="A2:T30" xr:uid="{095D539C-7E60-40B8-8A54-66835FE169B0}"/>
  <mergeCells count="44">
    <mergeCell ref="W11:W13"/>
    <mergeCell ref="B8:B10"/>
    <mergeCell ref="C8:C10"/>
    <mergeCell ref="D8:D10"/>
    <mergeCell ref="E8:E10"/>
    <mergeCell ref="G8:G10"/>
    <mergeCell ref="H8:H10"/>
    <mergeCell ref="F8:F10"/>
    <mergeCell ref="A8:A13"/>
    <mergeCell ref="B11:B13"/>
    <mergeCell ref="C11:C13"/>
    <mergeCell ref="A14:A15"/>
    <mergeCell ref="B14:B15"/>
    <mergeCell ref="C14:C15"/>
    <mergeCell ref="F14:F15"/>
    <mergeCell ref="A20:A22"/>
    <mergeCell ref="A26:A27"/>
    <mergeCell ref="B26:B27"/>
    <mergeCell ref="C26:C27"/>
    <mergeCell ref="D26:D27"/>
    <mergeCell ref="A23:A25"/>
    <mergeCell ref="D14:D15"/>
    <mergeCell ref="E14:E15"/>
    <mergeCell ref="E26:E27"/>
    <mergeCell ref="F26:F27"/>
    <mergeCell ref="I26:I27"/>
    <mergeCell ref="G14:G15"/>
    <mergeCell ref="H14:H15"/>
    <mergeCell ref="I14:I15"/>
    <mergeCell ref="J8:J10"/>
    <mergeCell ref="J14:J15"/>
    <mergeCell ref="J26:J27"/>
    <mergeCell ref="I8:I10"/>
    <mergeCell ref="J11:J13"/>
    <mergeCell ref="G26:G27"/>
    <mergeCell ref="H26:H27"/>
    <mergeCell ref="K14:K15"/>
    <mergeCell ref="L14:L15"/>
    <mergeCell ref="K8:K10"/>
    <mergeCell ref="L8:L10"/>
    <mergeCell ref="K26:K27"/>
    <mergeCell ref="L26:L27"/>
    <mergeCell ref="K11:K13"/>
    <mergeCell ref="L11:L1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5605B-F57E-4AD4-AB6E-1F1A56634E27}">
  <sheetPr>
    <tabColor rgb="FF00B0F0"/>
  </sheetPr>
  <dimension ref="A1:V51"/>
  <sheetViews>
    <sheetView topLeftCell="A19" zoomScale="60" zoomScaleNormal="60" workbookViewId="0">
      <selection activeCell="S2" sqref="S2"/>
    </sheetView>
  </sheetViews>
  <sheetFormatPr defaultRowHeight="15" x14ac:dyDescent="0.25"/>
  <cols>
    <col min="1" max="1" width="34.7109375" style="14" customWidth="1"/>
    <col min="2" max="2" width="15.140625" style="13" customWidth="1"/>
    <col min="3" max="3" width="26.42578125" style="14" customWidth="1"/>
    <col min="4" max="4" width="18" style="15" customWidth="1"/>
    <col min="5" max="5" width="16.85546875" style="15" customWidth="1"/>
    <col min="6" max="6" width="18" style="15" customWidth="1"/>
    <col min="7" max="7" width="18.140625" style="15" customWidth="1"/>
    <col min="8" max="8" width="16.5703125" style="15" customWidth="1"/>
    <col min="9" max="9" width="18.42578125" style="15" customWidth="1"/>
    <col min="10" max="10" width="16.7109375" style="15" customWidth="1"/>
    <col min="11" max="11" width="32.140625" style="14" customWidth="1"/>
    <col min="12" max="12" width="14.28515625" style="14" customWidth="1"/>
    <col min="13" max="13" width="15.28515625" style="13" customWidth="1"/>
    <col min="14" max="14" width="14.28515625" style="13" customWidth="1"/>
    <col min="15" max="15" width="32.85546875" style="14" customWidth="1"/>
    <col min="16" max="16" width="14.28515625" style="14" customWidth="1"/>
    <col min="17" max="17" width="10.28515625" style="13" customWidth="1"/>
    <col min="18" max="18" width="11.85546875" style="13" customWidth="1"/>
    <col min="19" max="19" width="43.7109375" style="14" customWidth="1"/>
    <col min="20" max="21" width="9.140625" style="14"/>
    <col min="22" max="22" width="20.140625" style="14" bestFit="1" customWidth="1"/>
    <col min="23" max="16384" width="9.140625" style="14"/>
  </cols>
  <sheetData>
    <row r="1" spans="1:22" ht="25.5" customHeight="1" x14ac:dyDescent="0.25">
      <c r="G1" s="330" t="s">
        <v>649</v>
      </c>
      <c r="H1" s="331"/>
      <c r="I1" s="332"/>
    </row>
    <row r="2" spans="1:22" s="42" customFormat="1" ht="75" x14ac:dyDescent="0.25">
      <c r="A2" s="34" t="s">
        <v>377</v>
      </c>
      <c r="B2" s="87" t="s">
        <v>378</v>
      </c>
      <c r="C2" s="34" t="s">
        <v>379</v>
      </c>
      <c r="D2" s="38" t="s">
        <v>411</v>
      </c>
      <c r="E2" s="38" t="s">
        <v>412</v>
      </c>
      <c r="F2" s="38" t="s">
        <v>413</v>
      </c>
      <c r="G2" s="39" t="s">
        <v>507</v>
      </c>
      <c r="H2" s="39" t="s">
        <v>508</v>
      </c>
      <c r="I2" s="39" t="s">
        <v>509</v>
      </c>
      <c r="J2" s="39" t="s">
        <v>626</v>
      </c>
      <c r="K2" s="34" t="s">
        <v>385</v>
      </c>
      <c r="L2" s="40" t="s">
        <v>514</v>
      </c>
      <c r="M2" s="34">
        <v>2029</v>
      </c>
      <c r="N2" s="40" t="s">
        <v>651</v>
      </c>
      <c r="O2" s="34" t="s">
        <v>386</v>
      </c>
      <c r="P2" s="40" t="s">
        <v>514</v>
      </c>
      <c r="Q2" s="34">
        <v>2029</v>
      </c>
      <c r="R2" s="40" t="s">
        <v>651</v>
      </c>
      <c r="S2" s="208" t="s">
        <v>750</v>
      </c>
    </row>
    <row r="3" spans="1:22" s="37" customFormat="1" x14ac:dyDescent="0.25">
      <c r="A3" s="31" t="s">
        <v>572</v>
      </c>
      <c r="B3" s="87"/>
      <c r="C3" s="31" t="s">
        <v>574</v>
      </c>
      <c r="D3" s="173">
        <v>2139715532</v>
      </c>
      <c r="E3" s="173">
        <v>391022526</v>
      </c>
      <c r="F3" s="173">
        <v>2530738058</v>
      </c>
      <c r="G3" s="173">
        <v>2139715532</v>
      </c>
      <c r="H3" s="173">
        <v>391022526</v>
      </c>
      <c r="I3" s="173">
        <v>2530738058</v>
      </c>
      <c r="J3" s="173"/>
      <c r="K3" s="31"/>
      <c r="L3" s="31"/>
      <c r="M3" s="136"/>
      <c r="N3" s="136"/>
      <c r="O3" s="31"/>
      <c r="P3" s="31"/>
      <c r="Q3" s="136"/>
      <c r="R3" s="136"/>
      <c r="S3" s="430"/>
    </row>
    <row r="4" spans="1:22" s="37" customFormat="1" x14ac:dyDescent="0.25">
      <c r="A4" s="31" t="s">
        <v>576</v>
      </c>
      <c r="B4" s="87"/>
      <c r="C4" s="31" t="s">
        <v>425</v>
      </c>
      <c r="D4" s="173">
        <v>218477760</v>
      </c>
      <c r="E4" s="173">
        <v>38554899</v>
      </c>
      <c r="F4" s="173">
        <v>257032659</v>
      </c>
      <c r="G4" s="173">
        <v>202213544</v>
      </c>
      <c r="H4" s="173">
        <v>35684744</v>
      </c>
      <c r="I4" s="173">
        <v>237898288</v>
      </c>
      <c r="J4" s="173"/>
      <c r="K4" s="106" t="s">
        <v>604</v>
      </c>
      <c r="L4" s="31"/>
      <c r="M4" s="136"/>
      <c r="N4" s="136"/>
      <c r="O4" s="31"/>
      <c r="P4" s="31"/>
      <c r="Q4" s="136"/>
      <c r="R4" s="136"/>
      <c r="S4" s="430"/>
    </row>
    <row r="5" spans="1:22" ht="18" customHeight="1" x14ac:dyDescent="0.25">
      <c r="A5" s="22" t="s">
        <v>423</v>
      </c>
      <c r="B5" s="24"/>
      <c r="C5" s="22" t="s">
        <v>424</v>
      </c>
      <c r="D5" s="171">
        <f t="shared" ref="D5:I5" si="0">D7+D13+D16+D24+D26</f>
        <v>218477760</v>
      </c>
      <c r="E5" s="171">
        <f t="shared" si="0"/>
        <v>38554899</v>
      </c>
      <c r="F5" s="171">
        <f t="shared" si="0"/>
        <v>257032659</v>
      </c>
      <c r="G5" s="172">
        <f t="shared" si="0"/>
        <v>202213544</v>
      </c>
      <c r="H5" s="172">
        <f t="shared" si="0"/>
        <v>35684744</v>
      </c>
      <c r="I5" s="172">
        <f t="shared" si="0"/>
        <v>237898288</v>
      </c>
      <c r="J5" s="172"/>
      <c r="K5" s="104">
        <f>D5-G5</f>
        <v>16264216</v>
      </c>
      <c r="L5" s="22"/>
      <c r="M5" s="137"/>
      <c r="N5" s="137"/>
      <c r="O5" s="22"/>
      <c r="P5" s="22"/>
      <c r="Q5" s="137"/>
      <c r="R5" s="137"/>
      <c r="S5" s="431"/>
    </row>
    <row r="6" spans="1:22" x14ac:dyDescent="0.25">
      <c r="A6" s="21" t="s">
        <v>401</v>
      </c>
      <c r="B6" s="19"/>
      <c r="C6" s="21"/>
      <c r="D6" s="174">
        <f t="shared" ref="D6:I6" si="1">D4-D5</f>
        <v>0</v>
      </c>
      <c r="E6" s="174">
        <f t="shared" si="1"/>
        <v>0</v>
      </c>
      <c r="F6" s="174">
        <f t="shared" si="1"/>
        <v>0</v>
      </c>
      <c r="G6" s="174">
        <f t="shared" si="1"/>
        <v>0</v>
      </c>
      <c r="H6" s="174">
        <f t="shared" si="1"/>
        <v>0</v>
      </c>
      <c r="I6" s="174">
        <f t="shared" si="1"/>
        <v>0</v>
      </c>
      <c r="J6" s="174"/>
      <c r="K6" s="21"/>
      <c r="L6" s="21"/>
      <c r="M6" s="138"/>
      <c r="N6" s="138"/>
      <c r="O6" s="21"/>
      <c r="P6" s="21"/>
      <c r="Q6" s="138"/>
      <c r="R6" s="138"/>
      <c r="S6" s="431"/>
    </row>
    <row r="7" spans="1:22" ht="45" x14ac:dyDescent="0.25">
      <c r="A7" s="22" t="s">
        <v>439</v>
      </c>
      <c r="B7" s="24"/>
      <c r="C7" s="22" t="s">
        <v>402</v>
      </c>
      <c r="D7" s="171">
        <f t="shared" ref="D7:I7" si="2">SUM(D8:D12)</f>
        <v>127387086</v>
      </c>
      <c r="E7" s="171">
        <f t="shared" si="2"/>
        <v>22480074</v>
      </c>
      <c r="F7" s="171">
        <f t="shared" si="2"/>
        <v>149867160</v>
      </c>
      <c r="G7" s="171">
        <f t="shared" si="2"/>
        <v>127387086</v>
      </c>
      <c r="H7" s="171">
        <f t="shared" si="2"/>
        <v>22480074</v>
      </c>
      <c r="I7" s="171">
        <f t="shared" si="2"/>
        <v>149867160</v>
      </c>
      <c r="J7" s="171"/>
      <c r="K7" s="22"/>
      <c r="L7" s="22"/>
      <c r="M7" s="137"/>
      <c r="N7" s="137"/>
      <c r="O7" s="22"/>
      <c r="P7" s="22"/>
      <c r="Q7" s="137"/>
      <c r="R7" s="137"/>
      <c r="S7" s="431"/>
    </row>
    <row r="8" spans="1:22" ht="51.75" customHeight="1" x14ac:dyDescent="0.25">
      <c r="A8" s="464" t="s">
        <v>547</v>
      </c>
      <c r="B8" s="494" t="s">
        <v>64</v>
      </c>
      <c r="C8" s="464" t="s">
        <v>65</v>
      </c>
      <c r="D8" s="500">
        <v>118462086</v>
      </c>
      <c r="E8" s="500">
        <v>20905074</v>
      </c>
      <c r="F8" s="500">
        <v>139367160</v>
      </c>
      <c r="G8" s="500">
        <v>118462086</v>
      </c>
      <c r="H8" s="500">
        <v>20905074</v>
      </c>
      <c r="I8" s="500">
        <v>139367160</v>
      </c>
      <c r="J8" s="472">
        <f>G8/I8</f>
        <v>0.85</v>
      </c>
      <c r="K8" s="149" t="s">
        <v>305</v>
      </c>
      <c r="L8" s="21" t="s">
        <v>516</v>
      </c>
      <c r="M8" s="138">
        <v>265</v>
      </c>
      <c r="N8" s="138">
        <v>265</v>
      </c>
      <c r="O8" s="81" t="s">
        <v>306</v>
      </c>
      <c r="P8" s="21" t="s">
        <v>530</v>
      </c>
      <c r="Q8" s="138">
        <v>1080</v>
      </c>
      <c r="R8" s="138">
        <v>1080</v>
      </c>
      <c r="S8" s="431"/>
    </row>
    <row r="9" spans="1:22" ht="54" customHeight="1" x14ac:dyDescent="0.25">
      <c r="A9" s="465"/>
      <c r="B9" s="506"/>
      <c r="C9" s="465"/>
      <c r="D9" s="502"/>
      <c r="E9" s="502"/>
      <c r="F9" s="502"/>
      <c r="G9" s="502"/>
      <c r="H9" s="502"/>
      <c r="I9" s="502"/>
      <c r="J9" s="473"/>
      <c r="K9" s="153" t="s">
        <v>494</v>
      </c>
      <c r="L9" s="21" t="s">
        <v>516</v>
      </c>
      <c r="M9" s="138">
        <v>265</v>
      </c>
      <c r="N9" s="138">
        <v>265</v>
      </c>
      <c r="O9" s="21"/>
      <c r="P9" s="21"/>
      <c r="Q9" s="138"/>
      <c r="R9" s="138"/>
      <c r="S9" s="431"/>
      <c r="V9" s="18"/>
    </row>
    <row r="10" spans="1:22" ht="75.75" customHeight="1" x14ac:dyDescent="0.25">
      <c r="A10" s="466"/>
      <c r="B10" s="495"/>
      <c r="C10" s="466"/>
      <c r="D10" s="501"/>
      <c r="E10" s="501"/>
      <c r="F10" s="501"/>
      <c r="G10" s="501"/>
      <c r="H10" s="501"/>
      <c r="I10" s="501"/>
      <c r="J10" s="474"/>
      <c r="K10" s="185" t="s">
        <v>370</v>
      </c>
      <c r="L10" s="21" t="s">
        <v>515</v>
      </c>
      <c r="M10" s="138">
        <v>120</v>
      </c>
      <c r="N10" s="138">
        <v>120</v>
      </c>
      <c r="O10" s="23" t="s">
        <v>681</v>
      </c>
      <c r="P10" s="21" t="s">
        <v>515</v>
      </c>
      <c r="Q10" s="138">
        <v>120</v>
      </c>
      <c r="R10" s="138">
        <v>120</v>
      </c>
      <c r="S10" s="431"/>
      <c r="V10" s="18"/>
    </row>
    <row r="11" spans="1:22" ht="58.5" customHeight="1" x14ac:dyDescent="0.25">
      <c r="A11" s="464" t="s">
        <v>549</v>
      </c>
      <c r="B11" s="494" t="s">
        <v>62</v>
      </c>
      <c r="C11" s="464" t="s">
        <v>63</v>
      </c>
      <c r="D11" s="500">
        <v>8925000</v>
      </c>
      <c r="E11" s="500">
        <f>F11-D11</f>
        <v>1575000</v>
      </c>
      <c r="F11" s="500">
        <f>ROUND(D11*100/85,0)</f>
        <v>10500000</v>
      </c>
      <c r="G11" s="500">
        <v>8925000</v>
      </c>
      <c r="H11" s="500">
        <v>1575000</v>
      </c>
      <c r="I11" s="500">
        <v>10500000</v>
      </c>
      <c r="J11" s="472">
        <f>G11/I11</f>
        <v>0.85</v>
      </c>
      <c r="K11" s="149" t="s">
        <v>305</v>
      </c>
      <c r="L11" s="21" t="s">
        <v>516</v>
      </c>
      <c r="M11" s="138">
        <v>150</v>
      </c>
      <c r="N11" s="138">
        <v>150</v>
      </c>
      <c r="O11" s="89" t="s">
        <v>613</v>
      </c>
      <c r="P11" s="21" t="s">
        <v>534</v>
      </c>
      <c r="Q11" s="138">
        <v>38</v>
      </c>
      <c r="R11" s="138">
        <v>38</v>
      </c>
      <c r="S11" s="431"/>
    </row>
    <row r="12" spans="1:22" ht="54.75" customHeight="1" x14ac:dyDescent="0.25">
      <c r="A12" s="466"/>
      <c r="B12" s="495"/>
      <c r="C12" s="466"/>
      <c r="D12" s="501"/>
      <c r="E12" s="501"/>
      <c r="F12" s="501"/>
      <c r="G12" s="501"/>
      <c r="H12" s="501"/>
      <c r="I12" s="501"/>
      <c r="J12" s="474"/>
      <c r="K12" s="157" t="s">
        <v>596</v>
      </c>
      <c r="L12" s="21" t="s">
        <v>516</v>
      </c>
      <c r="M12" s="138">
        <v>150</v>
      </c>
      <c r="N12" s="138">
        <v>150</v>
      </c>
      <c r="O12" s="81" t="s">
        <v>306</v>
      </c>
      <c r="P12" s="21" t="s">
        <v>530</v>
      </c>
      <c r="Q12" s="138">
        <v>75</v>
      </c>
      <c r="R12" s="138">
        <v>75</v>
      </c>
      <c r="S12" s="431"/>
    </row>
    <row r="13" spans="1:22" ht="30" x14ac:dyDescent="0.25">
      <c r="A13" s="22" t="s">
        <v>440</v>
      </c>
      <c r="B13" s="24"/>
      <c r="C13" s="22" t="s">
        <v>406</v>
      </c>
      <c r="D13" s="171">
        <f t="shared" ref="D13:I13" si="3">SUM(D14:D15)</f>
        <v>27284575</v>
      </c>
      <c r="E13" s="171">
        <f t="shared" si="3"/>
        <v>4814925</v>
      </c>
      <c r="F13" s="171">
        <f t="shared" si="3"/>
        <v>32099500</v>
      </c>
      <c r="G13" s="171">
        <f t="shared" si="3"/>
        <v>23484248</v>
      </c>
      <c r="H13" s="171">
        <f t="shared" si="3"/>
        <v>4144280</v>
      </c>
      <c r="I13" s="171">
        <f t="shared" si="3"/>
        <v>27628528</v>
      </c>
      <c r="J13" s="171"/>
      <c r="K13" s="22"/>
      <c r="L13" s="22"/>
      <c r="M13" s="137"/>
      <c r="N13" s="137"/>
      <c r="O13" s="22"/>
      <c r="P13" s="22"/>
      <c r="Q13" s="137"/>
      <c r="R13" s="137"/>
      <c r="S13" s="431"/>
    </row>
    <row r="14" spans="1:22" ht="138" customHeight="1" x14ac:dyDescent="0.25">
      <c r="A14" s="21" t="s">
        <v>477</v>
      </c>
      <c r="B14" s="90">
        <v>139</v>
      </c>
      <c r="C14" s="23" t="s">
        <v>261</v>
      </c>
      <c r="D14" s="168">
        <v>9963275</v>
      </c>
      <c r="E14" s="168">
        <f>F14-D14</f>
        <v>1758225</v>
      </c>
      <c r="F14" s="168">
        <f>ROUND(D14*100/85,0)</f>
        <v>11721500</v>
      </c>
      <c r="G14" s="169">
        <v>6162948</v>
      </c>
      <c r="H14" s="169">
        <f>I14-G14</f>
        <v>1087580</v>
      </c>
      <c r="I14" s="169">
        <v>7250528</v>
      </c>
      <c r="J14" s="258">
        <f>G14/I14</f>
        <v>0.84999988966320794</v>
      </c>
      <c r="K14" s="160" t="s">
        <v>588</v>
      </c>
      <c r="L14" s="23" t="s">
        <v>520</v>
      </c>
      <c r="M14" s="139">
        <v>5286</v>
      </c>
      <c r="N14" s="140">
        <f>M14*I14/F14</f>
        <v>3269.7428663566948</v>
      </c>
      <c r="O14" s="213" t="s">
        <v>587</v>
      </c>
      <c r="P14" s="23" t="s">
        <v>526</v>
      </c>
      <c r="Q14" s="139">
        <v>1071</v>
      </c>
      <c r="R14" s="140">
        <f>Q14*I14/F14</f>
        <v>662.48479187817259</v>
      </c>
      <c r="S14" s="21" t="s">
        <v>751</v>
      </c>
    </row>
    <row r="15" spans="1:22" ht="98.25" customHeight="1" x14ac:dyDescent="0.25">
      <c r="A15" s="21" t="s">
        <v>478</v>
      </c>
      <c r="B15" s="90">
        <v>146</v>
      </c>
      <c r="C15" s="23" t="s">
        <v>268</v>
      </c>
      <c r="D15" s="168">
        <v>17321300</v>
      </c>
      <c r="E15" s="168">
        <v>3056700</v>
      </c>
      <c r="F15" s="168">
        <v>20378000</v>
      </c>
      <c r="G15" s="189">
        <v>17321300</v>
      </c>
      <c r="H15" s="189">
        <f>I15-G15</f>
        <v>3056700</v>
      </c>
      <c r="I15" s="189">
        <v>20378000</v>
      </c>
      <c r="J15" s="258">
        <f>G15/I15</f>
        <v>0.85</v>
      </c>
      <c r="K15" s="185" t="s">
        <v>680</v>
      </c>
      <c r="L15" s="23" t="s">
        <v>515</v>
      </c>
      <c r="M15" s="139">
        <v>3053</v>
      </c>
      <c r="N15" s="145">
        <f>M15*I15/F15</f>
        <v>3053</v>
      </c>
      <c r="O15" s="23" t="s">
        <v>593</v>
      </c>
      <c r="P15" s="23" t="s">
        <v>515</v>
      </c>
      <c r="Q15" s="139">
        <v>641</v>
      </c>
      <c r="R15" s="145">
        <f>Q15*I15/F15</f>
        <v>641</v>
      </c>
      <c r="S15" s="431"/>
    </row>
    <row r="16" spans="1:22" ht="30" x14ac:dyDescent="0.25">
      <c r="A16" s="22" t="s">
        <v>461</v>
      </c>
      <c r="B16" s="24"/>
      <c r="C16" s="22" t="s">
        <v>405</v>
      </c>
      <c r="D16" s="171">
        <f t="shared" ref="D16:I16" si="4">SUM(D17:D23)</f>
        <v>57006099</v>
      </c>
      <c r="E16" s="171">
        <f t="shared" si="4"/>
        <v>10059900</v>
      </c>
      <c r="F16" s="171">
        <f t="shared" si="4"/>
        <v>67065999</v>
      </c>
      <c r="G16" s="172">
        <f t="shared" si="4"/>
        <v>44542210</v>
      </c>
      <c r="H16" s="172">
        <f t="shared" si="4"/>
        <v>7860390</v>
      </c>
      <c r="I16" s="172">
        <f t="shared" si="4"/>
        <v>52402600</v>
      </c>
      <c r="J16" s="172"/>
      <c r="K16" s="22"/>
      <c r="L16" s="22"/>
      <c r="M16" s="137"/>
      <c r="N16" s="137"/>
      <c r="O16" s="22"/>
      <c r="P16" s="22"/>
      <c r="Q16" s="137"/>
      <c r="R16" s="137"/>
      <c r="S16" s="431"/>
    </row>
    <row r="17" spans="1:19" ht="73.5" customHeight="1" x14ac:dyDescent="0.25">
      <c r="A17" s="464" t="s">
        <v>443</v>
      </c>
      <c r="B17" s="90" t="s">
        <v>116</v>
      </c>
      <c r="C17" s="23" t="s">
        <v>117</v>
      </c>
      <c r="D17" s="168">
        <v>4105500</v>
      </c>
      <c r="E17" s="168">
        <f t="shared" ref="E17:E22" si="5">F17-D17</f>
        <v>724500</v>
      </c>
      <c r="F17" s="168">
        <f t="shared" ref="F17:F22" si="6">ROUND(D17*100/85,0)</f>
        <v>4830000</v>
      </c>
      <c r="G17" s="169">
        <v>3045351</v>
      </c>
      <c r="H17" s="169">
        <f>I17-G17</f>
        <v>537414</v>
      </c>
      <c r="I17" s="169">
        <v>3582765</v>
      </c>
      <c r="J17" s="258">
        <f t="shared" ref="J17:J22" si="7">G17/I17</f>
        <v>0.85000020933552722</v>
      </c>
      <c r="K17" s="23" t="s">
        <v>584</v>
      </c>
      <c r="L17" s="23" t="s">
        <v>517</v>
      </c>
      <c r="M17" s="139">
        <v>3</v>
      </c>
      <c r="N17" s="140">
        <f>M17*I17/F17</f>
        <v>2.2253198757763974</v>
      </c>
      <c r="O17" s="216" t="s">
        <v>330</v>
      </c>
      <c r="P17" s="23" t="s">
        <v>531</v>
      </c>
      <c r="Q17" s="139">
        <v>6300</v>
      </c>
      <c r="R17" s="140">
        <f>Q17*I17/F17</f>
        <v>4673.1717391304346</v>
      </c>
      <c r="S17" s="21" t="s">
        <v>751</v>
      </c>
    </row>
    <row r="18" spans="1:19" ht="72.75" customHeight="1" x14ac:dyDescent="0.25">
      <c r="A18" s="465"/>
      <c r="B18" s="90" t="s">
        <v>118</v>
      </c>
      <c r="C18" s="21" t="s">
        <v>119</v>
      </c>
      <c r="D18" s="167">
        <v>11857500</v>
      </c>
      <c r="E18" s="167">
        <f t="shared" si="5"/>
        <v>2092500</v>
      </c>
      <c r="F18" s="167">
        <f t="shared" si="6"/>
        <v>13950000</v>
      </c>
      <c r="G18" s="167">
        <v>11857500</v>
      </c>
      <c r="H18" s="167">
        <v>2092500</v>
      </c>
      <c r="I18" s="167">
        <v>13950000</v>
      </c>
      <c r="J18" s="268">
        <f t="shared" si="7"/>
        <v>0.85</v>
      </c>
      <c r="K18" s="23" t="s">
        <v>584</v>
      </c>
      <c r="L18" s="21" t="s">
        <v>517</v>
      </c>
      <c r="M18" s="138">
        <v>15</v>
      </c>
      <c r="N18" s="138">
        <v>15</v>
      </c>
      <c r="O18" s="216" t="s">
        <v>330</v>
      </c>
      <c r="P18" s="21" t="s">
        <v>531</v>
      </c>
      <c r="Q18" s="138">
        <v>17070</v>
      </c>
      <c r="R18" s="138">
        <v>17070</v>
      </c>
      <c r="S18" s="431"/>
    </row>
    <row r="19" spans="1:19" ht="78.75" customHeight="1" x14ac:dyDescent="0.25">
      <c r="A19" s="466"/>
      <c r="B19" s="90" t="s">
        <v>126</v>
      </c>
      <c r="C19" s="23" t="s">
        <v>127</v>
      </c>
      <c r="D19" s="168">
        <v>12665000</v>
      </c>
      <c r="E19" s="168">
        <f t="shared" si="5"/>
        <v>2235000</v>
      </c>
      <c r="F19" s="168">
        <f t="shared" si="6"/>
        <v>14900000</v>
      </c>
      <c r="G19" s="169">
        <v>9394560</v>
      </c>
      <c r="H19" s="169">
        <f>I19-G19</f>
        <v>1657864</v>
      </c>
      <c r="I19" s="169">
        <v>11052424</v>
      </c>
      <c r="J19" s="258">
        <f t="shared" si="7"/>
        <v>0.84999996380884413</v>
      </c>
      <c r="K19" s="23" t="s">
        <v>584</v>
      </c>
      <c r="L19" s="23" t="s">
        <v>517</v>
      </c>
      <c r="M19" s="139">
        <v>5</v>
      </c>
      <c r="N19" s="140">
        <v>3</v>
      </c>
      <c r="O19" s="216" t="s">
        <v>330</v>
      </c>
      <c r="P19" s="23" t="s">
        <v>531</v>
      </c>
      <c r="Q19" s="139">
        <v>5685</v>
      </c>
      <c r="R19" s="140">
        <f>Q19*I19/F19</f>
        <v>4216.9819087248325</v>
      </c>
      <c r="S19" s="21" t="s">
        <v>751</v>
      </c>
    </row>
    <row r="20" spans="1:19" ht="58.5" customHeight="1" x14ac:dyDescent="0.25">
      <c r="A20" s="464" t="s">
        <v>444</v>
      </c>
      <c r="B20" s="90" t="s">
        <v>186</v>
      </c>
      <c r="C20" s="21" t="s">
        <v>187</v>
      </c>
      <c r="D20" s="167">
        <v>8313850</v>
      </c>
      <c r="E20" s="167">
        <f t="shared" si="5"/>
        <v>1467150</v>
      </c>
      <c r="F20" s="167">
        <f t="shared" si="6"/>
        <v>9781000</v>
      </c>
      <c r="G20" s="167">
        <v>8313850</v>
      </c>
      <c r="H20" s="167">
        <v>1467150</v>
      </c>
      <c r="I20" s="167">
        <v>9781000</v>
      </c>
      <c r="J20" s="268">
        <f t="shared" si="7"/>
        <v>0.85</v>
      </c>
      <c r="K20" s="92" t="s">
        <v>344</v>
      </c>
      <c r="L20" s="21" t="s">
        <v>519</v>
      </c>
      <c r="M20" s="138">
        <v>1380</v>
      </c>
      <c r="N20" s="138">
        <v>1380</v>
      </c>
      <c r="O20" s="219" t="s">
        <v>341</v>
      </c>
      <c r="P20" s="21" t="s">
        <v>526</v>
      </c>
      <c r="Q20" s="138">
        <v>181178</v>
      </c>
      <c r="R20" s="138">
        <v>181178</v>
      </c>
      <c r="S20" s="431"/>
    </row>
    <row r="21" spans="1:19" ht="48" customHeight="1" x14ac:dyDescent="0.25">
      <c r="A21" s="466"/>
      <c r="B21" s="90" t="s">
        <v>194</v>
      </c>
      <c r="C21" s="21" t="s">
        <v>195</v>
      </c>
      <c r="D21" s="167">
        <v>425000</v>
      </c>
      <c r="E21" s="167">
        <f t="shared" si="5"/>
        <v>75000</v>
      </c>
      <c r="F21" s="167">
        <f t="shared" si="6"/>
        <v>500000</v>
      </c>
      <c r="G21" s="167">
        <v>425000</v>
      </c>
      <c r="H21" s="167">
        <v>75000</v>
      </c>
      <c r="I21" s="167">
        <v>500000</v>
      </c>
      <c r="J21" s="268">
        <f t="shared" si="7"/>
        <v>0.85</v>
      </c>
      <c r="K21" s="164" t="s">
        <v>474</v>
      </c>
      <c r="L21" s="21" t="s">
        <v>533</v>
      </c>
      <c r="M21" s="138">
        <v>40</v>
      </c>
      <c r="N21" s="138">
        <v>40</v>
      </c>
      <c r="O21" s="21"/>
      <c r="P21" s="21"/>
      <c r="Q21" s="138"/>
      <c r="R21" s="138"/>
      <c r="S21" s="431"/>
    </row>
    <row r="22" spans="1:19" ht="79.5" customHeight="1" x14ac:dyDescent="0.25">
      <c r="A22" s="464" t="s">
        <v>445</v>
      </c>
      <c r="B22" s="494" t="s">
        <v>118</v>
      </c>
      <c r="C22" s="496" t="s">
        <v>119</v>
      </c>
      <c r="D22" s="498">
        <v>19639249</v>
      </c>
      <c r="E22" s="498">
        <f t="shared" si="5"/>
        <v>3465750</v>
      </c>
      <c r="F22" s="498">
        <f t="shared" si="6"/>
        <v>23104999</v>
      </c>
      <c r="G22" s="492">
        <v>11505949</v>
      </c>
      <c r="H22" s="492">
        <f>I22-G22</f>
        <v>2030462</v>
      </c>
      <c r="I22" s="492">
        <f>27486411-I18</f>
        <v>13536411</v>
      </c>
      <c r="J22" s="475">
        <f t="shared" si="7"/>
        <v>0.84999997414381112</v>
      </c>
      <c r="K22" s="23" t="s">
        <v>584</v>
      </c>
      <c r="L22" s="23" t="s">
        <v>517</v>
      </c>
      <c r="M22" s="139">
        <v>11</v>
      </c>
      <c r="N22" s="140">
        <v>6</v>
      </c>
      <c r="O22" s="216" t="s">
        <v>330</v>
      </c>
      <c r="P22" s="23" t="s">
        <v>531</v>
      </c>
      <c r="Q22" s="139">
        <v>12518</v>
      </c>
      <c r="R22" s="140">
        <f>Q22*I22/F22</f>
        <v>7333.8584822271578</v>
      </c>
      <c r="S22" s="21" t="s">
        <v>751</v>
      </c>
    </row>
    <row r="23" spans="1:19" ht="46.5" customHeight="1" x14ac:dyDescent="0.25">
      <c r="A23" s="466"/>
      <c r="B23" s="495"/>
      <c r="C23" s="497"/>
      <c r="D23" s="499"/>
      <c r="E23" s="499"/>
      <c r="F23" s="499"/>
      <c r="G23" s="493"/>
      <c r="H23" s="493"/>
      <c r="I23" s="493"/>
      <c r="J23" s="476"/>
      <c r="K23" s="176" t="s">
        <v>682</v>
      </c>
      <c r="L23" s="23" t="s">
        <v>532</v>
      </c>
      <c r="M23" s="139">
        <v>2200</v>
      </c>
      <c r="N23" s="140">
        <v>1289</v>
      </c>
      <c r="O23" s="23"/>
      <c r="P23" s="23"/>
      <c r="Q23" s="139"/>
      <c r="R23" s="139"/>
      <c r="S23" s="21" t="s">
        <v>751</v>
      </c>
    </row>
    <row r="24" spans="1:19" ht="71.25" customHeight="1" x14ac:dyDescent="0.25">
      <c r="A24" s="22" t="s">
        <v>441</v>
      </c>
      <c r="B24" s="24"/>
      <c r="C24" s="22" t="s">
        <v>404</v>
      </c>
      <c r="D24" s="171">
        <f t="shared" ref="D24:I24" si="8">SUM(D25)</f>
        <v>6800000</v>
      </c>
      <c r="E24" s="171">
        <f t="shared" si="8"/>
        <v>1200000</v>
      </c>
      <c r="F24" s="171">
        <f t="shared" si="8"/>
        <v>8000000</v>
      </c>
      <c r="G24" s="171">
        <f t="shared" si="8"/>
        <v>6800000</v>
      </c>
      <c r="H24" s="171">
        <f t="shared" si="8"/>
        <v>1200000</v>
      </c>
      <c r="I24" s="171">
        <f t="shared" si="8"/>
        <v>8000000</v>
      </c>
      <c r="J24" s="171"/>
      <c r="K24" s="22"/>
      <c r="L24" s="22"/>
      <c r="M24" s="137"/>
      <c r="N24" s="137"/>
      <c r="O24" s="22"/>
      <c r="P24" s="22"/>
      <c r="Q24" s="137"/>
      <c r="R24" s="137"/>
      <c r="S24" s="431"/>
    </row>
    <row r="25" spans="1:19" ht="69.75" customHeight="1" x14ac:dyDescent="0.25">
      <c r="A25" s="21" t="s">
        <v>441</v>
      </c>
      <c r="B25" s="90" t="s">
        <v>168</v>
      </c>
      <c r="C25" s="21" t="s">
        <v>169</v>
      </c>
      <c r="D25" s="167">
        <v>6800000</v>
      </c>
      <c r="E25" s="167">
        <f>F25-D25</f>
        <v>1200000</v>
      </c>
      <c r="F25" s="167">
        <f>ROUND(D25*100/85,0)</f>
        <v>8000000</v>
      </c>
      <c r="G25" s="167">
        <v>6800000</v>
      </c>
      <c r="H25" s="167">
        <v>1200000</v>
      </c>
      <c r="I25" s="167">
        <v>8000000</v>
      </c>
      <c r="J25" s="268">
        <f>G25/I25</f>
        <v>0.85</v>
      </c>
      <c r="K25" s="178" t="s">
        <v>336</v>
      </c>
      <c r="L25" s="21" t="s">
        <v>518</v>
      </c>
      <c r="M25" s="138">
        <v>20</v>
      </c>
      <c r="N25" s="138">
        <v>20</v>
      </c>
      <c r="O25" s="178" t="s">
        <v>586</v>
      </c>
      <c r="P25" s="21" t="s">
        <v>518</v>
      </c>
      <c r="Q25" s="138">
        <v>10</v>
      </c>
      <c r="R25" s="138">
        <v>10</v>
      </c>
      <c r="S25" s="431"/>
    </row>
    <row r="26" spans="1:19" ht="77.25" customHeight="1" x14ac:dyDescent="0.25">
      <c r="A26" s="22" t="s">
        <v>460</v>
      </c>
      <c r="B26" s="24"/>
      <c r="C26" s="22" t="s">
        <v>407</v>
      </c>
      <c r="D26" s="175">
        <f>SUM(D28)</f>
        <v>0</v>
      </c>
      <c r="E26" s="175">
        <f>SUM(E27:E28)</f>
        <v>0</v>
      </c>
      <c r="F26" s="175">
        <f>SUM(F27:F28)</f>
        <v>0</v>
      </c>
      <c r="G26" s="175">
        <f>SUM(G27:G28)</f>
        <v>0</v>
      </c>
      <c r="H26" s="175">
        <f>SUM(H27:H28)</f>
        <v>0</v>
      </c>
      <c r="I26" s="175">
        <f>SUM(I27:I28)</f>
        <v>0</v>
      </c>
      <c r="J26" s="175"/>
      <c r="K26" s="22"/>
      <c r="L26" s="22"/>
      <c r="M26" s="137"/>
      <c r="N26" s="137"/>
      <c r="O26" s="22"/>
      <c r="P26" s="22"/>
      <c r="Q26" s="137"/>
      <c r="R26" s="137"/>
      <c r="S26" s="432"/>
    </row>
    <row r="27" spans="1:19" s="292" customFormat="1" ht="22.5" customHeight="1" x14ac:dyDescent="0.25">
      <c r="B27" s="287"/>
      <c r="D27" s="294"/>
      <c r="E27" s="294"/>
      <c r="F27" s="294"/>
      <c r="G27" s="294"/>
      <c r="H27" s="294"/>
      <c r="I27" s="294"/>
      <c r="J27" s="294"/>
      <c r="M27" s="301"/>
      <c r="N27" s="301"/>
      <c r="Q27" s="301"/>
      <c r="R27" s="301"/>
    </row>
    <row r="28" spans="1:19" s="292" customFormat="1" ht="12" customHeight="1" x14ac:dyDescent="0.25">
      <c r="B28" s="287"/>
      <c r="D28" s="294"/>
      <c r="E28" s="294"/>
      <c r="F28" s="294"/>
      <c r="G28" s="294"/>
      <c r="H28" s="294"/>
      <c r="I28" s="294"/>
      <c r="J28" s="294"/>
      <c r="M28" s="301"/>
      <c r="N28" s="301"/>
      <c r="Q28" s="301"/>
      <c r="R28" s="301"/>
    </row>
    <row r="29" spans="1:19" x14ac:dyDescent="0.25">
      <c r="K29" s="118" t="s">
        <v>701</v>
      </c>
      <c r="L29" s="132">
        <f>N10+N15</f>
        <v>3173</v>
      </c>
      <c r="O29" s="118" t="s">
        <v>715</v>
      </c>
      <c r="P29" s="132">
        <f>R10+R15</f>
        <v>761</v>
      </c>
    </row>
    <row r="30" spans="1:19" x14ac:dyDescent="0.25">
      <c r="K30" s="118" t="s">
        <v>723</v>
      </c>
      <c r="L30" s="132">
        <f>N8+N11</f>
        <v>415</v>
      </c>
      <c r="O30" s="118" t="s">
        <v>714</v>
      </c>
      <c r="P30" s="132">
        <f>R8+R12</f>
        <v>1155</v>
      </c>
    </row>
    <row r="31" spans="1:19" x14ac:dyDescent="0.25">
      <c r="K31" s="118" t="s">
        <v>724</v>
      </c>
      <c r="L31" s="132">
        <f>N9</f>
        <v>265</v>
      </c>
      <c r="O31" s="118" t="s">
        <v>716</v>
      </c>
      <c r="P31" s="132">
        <f>R11</f>
        <v>38</v>
      </c>
    </row>
    <row r="32" spans="1:19" x14ac:dyDescent="0.25">
      <c r="K32" s="118" t="s">
        <v>704</v>
      </c>
      <c r="L32" s="132">
        <f>N12</f>
        <v>150</v>
      </c>
      <c r="O32" s="118" t="s">
        <v>720</v>
      </c>
      <c r="P32" s="132">
        <f>R14</f>
        <v>662.48479187817259</v>
      </c>
    </row>
    <row r="33" spans="11:16" x14ac:dyDescent="0.25">
      <c r="K33" s="118" t="s">
        <v>710</v>
      </c>
      <c r="L33" s="132">
        <f>N14</f>
        <v>3269.7428663566948</v>
      </c>
      <c r="O33" s="118" t="s">
        <v>717</v>
      </c>
      <c r="P33" s="132">
        <f>R17+R18+R19+R22</f>
        <v>33294.012130082425</v>
      </c>
    </row>
    <row r="34" spans="11:16" x14ac:dyDescent="0.25">
      <c r="K34" s="118" t="s">
        <v>707</v>
      </c>
      <c r="L34" s="132">
        <f>N17+N18+N19+N22</f>
        <v>26.225319875776396</v>
      </c>
      <c r="O34" s="118" t="s">
        <v>719</v>
      </c>
      <c r="P34" s="132">
        <f>R20</f>
        <v>181178</v>
      </c>
    </row>
    <row r="35" spans="11:16" x14ac:dyDescent="0.25">
      <c r="K35" s="118" t="s">
        <v>709</v>
      </c>
      <c r="L35" s="132">
        <f>N20</f>
        <v>1380</v>
      </c>
      <c r="O35" s="118" t="s">
        <v>718</v>
      </c>
      <c r="P35" s="132">
        <f>R25</f>
        <v>10</v>
      </c>
    </row>
    <row r="36" spans="11:16" x14ac:dyDescent="0.25">
      <c r="K36" s="118" t="s">
        <v>712</v>
      </c>
      <c r="L36" s="132">
        <f>N21</f>
        <v>40</v>
      </c>
      <c r="O36" s="118"/>
    </row>
    <row r="37" spans="11:16" x14ac:dyDescent="0.25">
      <c r="K37" s="118" t="s">
        <v>711</v>
      </c>
      <c r="L37" s="132">
        <f>N23</f>
        <v>1289</v>
      </c>
      <c r="O37" s="118"/>
    </row>
    <row r="38" spans="11:16" x14ac:dyDescent="0.25">
      <c r="K38" s="118" t="s">
        <v>708</v>
      </c>
      <c r="L38" s="132">
        <f>N25</f>
        <v>20</v>
      </c>
      <c r="O38" s="118"/>
    </row>
    <row r="39" spans="11:16" x14ac:dyDescent="0.25">
      <c r="K39" s="118"/>
      <c r="O39" s="118"/>
    </row>
    <row r="40" spans="11:16" x14ac:dyDescent="0.25">
      <c r="K40" s="118"/>
      <c r="O40" s="118"/>
    </row>
    <row r="41" spans="11:16" x14ac:dyDescent="0.25">
      <c r="K41" s="118"/>
      <c r="O41" s="118"/>
    </row>
    <row r="42" spans="11:16" x14ac:dyDescent="0.25">
      <c r="K42" s="118"/>
      <c r="O42" s="118"/>
    </row>
    <row r="43" spans="11:16" x14ac:dyDescent="0.25">
      <c r="K43" s="118"/>
    </row>
    <row r="44" spans="11:16" x14ac:dyDescent="0.25">
      <c r="K44" s="118"/>
    </row>
    <row r="45" spans="11:16" x14ac:dyDescent="0.25">
      <c r="K45" s="118"/>
    </row>
    <row r="46" spans="11:16" x14ac:dyDescent="0.25">
      <c r="K46" s="118"/>
    </row>
    <row r="47" spans="11:16" x14ac:dyDescent="0.25">
      <c r="K47" s="118"/>
    </row>
    <row r="48" spans="11:16" x14ac:dyDescent="0.25">
      <c r="K48" s="118"/>
    </row>
    <row r="49" spans="11:11" x14ac:dyDescent="0.25">
      <c r="K49" s="118"/>
    </row>
    <row r="50" spans="11:11" x14ac:dyDescent="0.25">
      <c r="K50" s="118"/>
    </row>
    <row r="51" spans="11:11" x14ac:dyDescent="0.25">
      <c r="K51" s="118"/>
    </row>
  </sheetData>
  <autoFilter ref="A2:Q28" xr:uid="{9EE5605B-F57E-4AD4-AB6E-1F1A56634E27}"/>
  <mergeCells count="32">
    <mergeCell ref="A8:A10"/>
    <mergeCell ref="B8:B10"/>
    <mergeCell ref="C8:C10"/>
    <mergeCell ref="D8:D10"/>
    <mergeCell ref="E8:E10"/>
    <mergeCell ref="A11:A12"/>
    <mergeCell ref="B11:B12"/>
    <mergeCell ref="C11:C12"/>
    <mergeCell ref="D11:D12"/>
    <mergeCell ref="E11:E12"/>
    <mergeCell ref="A17:A19"/>
    <mergeCell ref="A22:A23"/>
    <mergeCell ref="B22:B23"/>
    <mergeCell ref="C22:C23"/>
    <mergeCell ref="D22:D23"/>
    <mergeCell ref="A20:A21"/>
    <mergeCell ref="E22:E23"/>
    <mergeCell ref="F22:F23"/>
    <mergeCell ref="J8:J10"/>
    <mergeCell ref="J11:J12"/>
    <mergeCell ref="J22:J23"/>
    <mergeCell ref="G22:G23"/>
    <mergeCell ref="H22:H23"/>
    <mergeCell ref="I22:I23"/>
    <mergeCell ref="G11:G12"/>
    <mergeCell ref="H11:H12"/>
    <mergeCell ref="I11:I12"/>
    <mergeCell ref="I8:I10"/>
    <mergeCell ref="F11:F12"/>
    <mergeCell ref="F8:F10"/>
    <mergeCell ref="G8:G10"/>
    <mergeCell ref="H8:H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2912C-93E4-493F-881A-621056759E2F}">
  <sheetPr>
    <tabColor rgb="FF00B0F0"/>
  </sheetPr>
  <dimension ref="A1:AE47"/>
  <sheetViews>
    <sheetView topLeftCell="D25" zoomScale="70" zoomScaleNormal="70" workbookViewId="0">
      <selection activeCell="S2" sqref="S2"/>
    </sheetView>
  </sheetViews>
  <sheetFormatPr defaultRowHeight="15" x14ac:dyDescent="0.25"/>
  <cols>
    <col min="1" max="1" width="37.28515625" style="14" customWidth="1"/>
    <col min="2" max="2" width="13.5703125" style="13" customWidth="1"/>
    <col min="3" max="3" width="35.42578125" style="14" customWidth="1"/>
    <col min="4" max="4" width="17.42578125" style="15" bestFit="1" customWidth="1"/>
    <col min="5" max="5" width="15.85546875" style="15" bestFit="1" customWidth="1"/>
    <col min="6" max="9" width="17" style="15" customWidth="1"/>
    <col min="10" max="10" width="30.85546875" style="13" customWidth="1"/>
    <col min="11" max="11" width="14.42578125" style="13" customWidth="1"/>
    <col min="12" max="12" width="10.5703125" style="13" customWidth="1"/>
    <col min="13" max="13" width="11.7109375" style="13" customWidth="1"/>
    <col min="14" max="14" width="31.5703125" style="13" customWidth="1"/>
    <col min="15" max="16" width="16.140625" style="13" customWidth="1"/>
    <col min="17" max="17" width="13.42578125" style="14" bestFit="1" customWidth="1"/>
    <col min="18" max="18" width="13.7109375" style="14" customWidth="1"/>
    <col min="19" max="19" width="42.140625" style="14" customWidth="1"/>
    <col min="20" max="20" width="24.42578125" style="14" customWidth="1"/>
    <col min="21" max="21" width="20.140625" style="14" bestFit="1" customWidth="1"/>
    <col min="22" max="30" width="9.140625" style="14"/>
    <col min="31" max="31" width="9.140625" style="15"/>
    <col min="32" max="16384" width="9.140625" style="14"/>
  </cols>
  <sheetData>
    <row r="1" spans="1:31" ht="22.5" customHeight="1" x14ac:dyDescent="0.25">
      <c r="A1" s="21"/>
      <c r="B1" s="19"/>
      <c r="C1" s="21"/>
      <c r="D1" s="25"/>
      <c r="E1" s="25"/>
      <c r="F1" s="25"/>
      <c r="G1" s="330" t="s">
        <v>649</v>
      </c>
      <c r="H1" s="29"/>
      <c r="I1" s="29"/>
      <c r="J1" s="21"/>
      <c r="K1" s="21"/>
      <c r="L1" s="21"/>
      <c r="M1" s="21"/>
      <c r="N1" s="19"/>
      <c r="O1" s="19"/>
      <c r="P1" s="19"/>
      <c r="Q1" s="21"/>
      <c r="R1" s="21"/>
    </row>
    <row r="2" spans="1:31" s="42" customFormat="1" ht="75" x14ac:dyDescent="0.25">
      <c r="A2" s="34" t="s">
        <v>377</v>
      </c>
      <c r="B2" s="87" t="s">
        <v>378</v>
      </c>
      <c r="C2" s="34" t="s">
        <v>379</v>
      </c>
      <c r="D2" s="38" t="s">
        <v>411</v>
      </c>
      <c r="E2" s="38" t="s">
        <v>412</v>
      </c>
      <c r="F2" s="38" t="s">
        <v>413</v>
      </c>
      <c r="G2" s="39" t="s">
        <v>507</v>
      </c>
      <c r="H2" s="39" t="s">
        <v>508</v>
      </c>
      <c r="I2" s="39" t="s">
        <v>509</v>
      </c>
      <c r="J2" s="34" t="s">
        <v>385</v>
      </c>
      <c r="K2" s="40" t="s">
        <v>514</v>
      </c>
      <c r="L2" s="34">
        <v>2029</v>
      </c>
      <c r="M2" s="40" t="s">
        <v>651</v>
      </c>
      <c r="N2" s="34" t="s">
        <v>386</v>
      </c>
      <c r="O2" s="40" t="s">
        <v>514</v>
      </c>
      <c r="P2" s="34" t="s">
        <v>500</v>
      </c>
      <c r="Q2" s="34">
        <v>2029</v>
      </c>
      <c r="R2" s="40" t="s">
        <v>651</v>
      </c>
      <c r="S2" s="208" t="s">
        <v>750</v>
      </c>
      <c r="AE2" s="41"/>
    </row>
    <row r="3" spans="1:31" s="37" customFormat="1" x14ac:dyDescent="0.25">
      <c r="A3" s="31" t="s">
        <v>394</v>
      </c>
      <c r="B3" s="87"/>
      <c r="C3" s="31" t="s">
        <v>410</v>
      </c>
      <c r="D3" s="173">
        <v>2139715532</v>
      </c>
      <c r="E3" s="173">
        <v>391022526</v>
      </c>
      <c r="F3" s="173">
        <v>2530738058</v>
      </c>
      <c r="G3" s="173">
        <v>2139715532</v>
      </c>
      <c r="H3" s="173">
        <v>391022526</v>
      </c>
      <c r="I3" s="173">
        <v>2530738059</v>
      </c>
      <c r="J3" s="31"/>
      <c r="K3" s="31"/>
      <c r="L3" s="136"/>
      <c r="M3" s="136"/>
      <c r="N3" s="148"/>
      <c r="O3" s="148"/>
      <c r="P3" s="233"/>
      <c r="Q3" s="136"/>
      <c r="R3" s="136"/>
      <c r="S3" s="430"/>
      <c r="AE3" s="36"/>
    </row>
    <row r="4" spans="1:31" s="37" customFormat="1" x14ac:dyDescent="0.25">
      <c r="A4" s="31" t="s">
        <v>498</v>
      </c>
      <c r="B4" s="87"/>
      <c r="C4" s="31" t="s">
        <v>499</v>
      </c>
      <c r="D4" s="173">
        <v>208417666</v>
      </c>
      <c r="E4" s="173">
        <v>36779589</v>
      </c>
      <c r="F4" s="173">
        <v>245197255</v>
      </c>
      <c r="G4" s="173">
        <v>189465301</v>
      </c>
      <c r="H4" s="173">
        <v>33435054</v>
      </c>
      <c r="I4" s="173">
        <v>222900355</v>
      </c>
      <c r="J4" s="106" t="s">
        <v>604</v>
      </c>
      <c r="K4" s="31"/>
      <c r="L4" s="136"/>
      <c r="M4" s="136"/>
      <c r="N4" s="148"/>
      <c r="O4" s="148"/>
      <c r="P4" s="233"/>
      <c r="Q4" s="136"/>
      <c r="R4" s="136"/>
      <c r="S4" s="430"/>
      <c r="AE4" s="36"/>
    </row>
    <row r="5" spans="1:31" x14ac:dyDescent="0.25">
      <c r="A5" s="22" t="s">
        <v>428</v>
      </c>
      <c r="B5" s="24"/>
      <c r="C5" s="22" t="s">
        <v>427</v>
      </c>
      <c r="D5" s="171">
        <f t="shared" ref="D5:I5" si="0">D7+D13+D16+D24+D26+D30</f>
        <v>208417666</v>
      </c>
      <c r="E5" s="171">
        <f t="shared" si="0"/>
        <v>36779589</v>
      </c>
      <c r="F5" s="171">
        <f t="shared" si="0"/>
        <v>245197255</v>
      </c>
      <c r="G5" s="172">
        <f t="shared" si="0"/>
        <v>189465301</v>
      </c>
      <c r="H5" s="172">
        <f t="shared" si="0"/>
        <v>33435054</v>
      </c>
      <c r="I5" s="172">
        <f t="shared" si="0"/>
        <v>222900355</v>
      </c>
      <c r="J5" s="107">
        <f>D5-G5</f>
        <v>18952365</v>
      </c>
      <c r="K5" s="24"/>
      <c r="L5" s="137"/>
      <c r="M5" s="137"/>
      <c r="N5" s="54"/>
      <c r="O5" s="54"/>
      <c r="P5" s="234"/>
      <c r="Q5" s="137"/>
      <c r="R5" s="137"/>
      <c r="S5" s="431"/>
    </row>
    <row r="6" spans="1:31" x14ac:dyDescent="0.25">
      <c r="A6" s="21" t="s">
        <v>401</v>
      </c>
      <c r="B6" s="19"/>
      <c r="C6" s="21"/>
      <c r="D6" s="174">
        <f>D4-D5</f>
        <v>0</v>
      </c>
      <c r="E6" s="174">
        <f t="shared" ref="E6:I6" si="1">E4-E5</f>
        <v>0</v>
      </c>
      <c r="F6" s="174">
        <f t="shared" si="1"/>
        <v>0</v>
      </c>
      <c r="G6" s="174">
        <f t="shared" si="1"/>
        <v>0</v>
      </c>
      <c r="H6" s="174">
        <f t="shared" si="1"/>
        <v>0</v>
      </c>
      <c r="I6" s="174">
        <f t="shared" si="1"/>
        <v>0</v>
      </c>
      <c r="J6" s="19"/>
      <c r="K6" s="19"/>
      <c r="L6" s="138"/>
      <c r="M6" s="138"/>
      <c r="N6" s="56"/>
      <c r="O6" s="56"/>
      <c r="P6" s="224"/>
      <c r="Q6" s="138"/>
      <c r="R6" s="138"/>
      <c r="S6" s="431"/>
    </row>
    <row r="7" spans="1:31" ht="30" x14ac:dyDescent="0.25">
      <c r="A7" s="22" t="s">
        <v>439</v>
      </c>
      <c r="B7" s="24"/>
      <c r="C7" s="22"/>
      <c r="D7" s="171">
        <f t="shared" ref="D7:I7" si="2">SUM(D8:D12)</f>
        <v>98894082</v>
      </c>
      <c r="E7" s="171">
        <f t="shared" si="2"/>
        <v>17451897</v>
      </c>
      <c r="F7" s="171">
        <f t="shared" si="2"/>
        <v>116345979</v>
      </c>
      <c r="G7" s="171">
        <f t="shared" si="2"/>
        <v>98894082</v>
      </c>
      <c r="H7" s="171">
        <f t="shared" si="2"/>
        <v>17451897</v>
      </c>
      <c r="I7" s="171">
        <f t="shared" si="2"/>
        <v>116345979</v>
      </c>
      <c r="J7" s="24"/>
      <c r="K7" s="24"/>
      <c r="L7" s="137"/>
      <c r="M7" s="137"/>
      <c r="N7" s="54"/>
      <c r="O7" s="54"/>
      <c r="P7" s="234"/>
      <c r="Q7" s="137"/>
      <c r="R7" s="137"/>
      <c r="S7" s="431"/>
    </row>
    <row r="8" spans="1:31" ht="53.25" customHeight="1" x14ac:dyDescent="0.25">
      <c r="A8" s="464" t="s">
        <v>547</v>
      </c>
      <c r="B8" s="494" t="s">
        <v>64</v>
      </c>
      <c r="C8" s="464" t="s">
        <v>65</v>
      </c>
      <c r="D8" s="500">
        <v>86994082</v>
      </c>
      <c r="E8" s="500">
        <v>15351897</v>
      </c>
      <c r="F8" s="500">
        <v>102345979</v>
      </c>
      <c r="G8" s="500">
        <v>86994082</v>
      </c>
      <c r="H8" s="500">
        <v>15351897</v>
      </c>
      <c r="I8" s="500">
        <v>102345979</v>
      </c>
      <c r="J8" s="151" t="s">
        <v>305</v>
      </c>
      <c r="K8" s="19" t="s">
        <v>516</v>
      </c>
      <c r="L8" s="138">
        <v>174</v>
      </c>
      <c r="M8" s="138">
        <v>174</v>
      </c>
      <c r="N8" s="210" t="s">
        <v>306</v>
      </c>
      <c r="O8" s="56" t="s">
        <v>530</v>
      </c>
      <c r="P8" s="224"/>
      <c r="Q8" s="138">
        <v>651</v>
      </c>
      <c r="R8" s="138">
        <v>651</v>
      </c>
      <c r="S8" s="431"/>
    </row>
    <row r="9" spans="1:31" ht="53.25" customHeight="1" x14ac:dyDescent="0.25">
      <c r="A9" s="465"/>
      <c r="B9" s="506"/>
      <c r="C9" s="465"/>
      <c r="D9" s="502"/>
      <c r="E9" s="502"/>
      <c r="F9" s="502"/>
      <c r="G9" s="502"/>
      <c r="H9" s="502"/>
      <c r="I9" s="502"/>
      <c r="J9" s="155" t="s">
        <v>494</v>
      </c>
      <c r="K9" s="19" t="s">
        <v>516</v>
      </c>
      <c r="L9" s="138">
        <v>174</v>
      </c>
      <c r="M9" s="138">
        <v>174</v>
      </c>
      <c r="N9" s="56"/>
      <c r="O9" s="56"/>
      <c r="P9" s="224"/>
      <c r="Q9" s="138"/>
      <c r="R9" s="138"/>
      <c r="S9" s="431"/>
      <c r="U9" s="18"/>
    </row>
    <row r="10" spans="1:31" ht="72" customHeight="1" x14ac:dyDescent="0.25">
      <c r="A10" s="466"/>
      <c r="B10" s="495"/>
      <c r="C10" s="466"/>
      <c r="D10" s="501"/>
      <c r="E10" s="501"/>
      <c r="F10" s="501"/>
      <c r="G10" s="501"/>
      <c r="H10" s="501"/>
      <c r="I10" s="501"/>
      <c r="J10" s="187" t="s">
        <v>680</v>
      </c>
      <c r="K10" s="19" t="s">
        <v>515</v>
      </c>
      <c r="L10" s="138">
        <v>75</v>
      </c>
      <c r="M10" s="138">
        <v>75</v>
      </c>
      <c r="N10" s="146" t="s">
        <v>689</v>
      </c>
      <c r="O10" s="56" t="s">
        <v>515</v>
      </c>
      <c r="P10" s="224"/>
      <c r="Q10" s="138">
        <v>75</v>
      </c>
      <c r="R10" s="138">
        <v>75</v>
      </c>
      <c r="S10" s="431"/>
      <c r="T10" s="18"/>
      <c r="U10" s="18"/>
    </row>
    <row r="11" spans="1:31" ht="58.5" customHeight="1" x14ac:dyDescent="0.25">
      <c r="A11" s="464" t="s">
        <v>549</v>
      </c>
      <c r="B11" s="494" t="s">
        <v>62</v>
      </c>
      <c r="C11" s="464" t="s">
        <v>63</v>
      </c>
      <c r="D11" s="500">
        <v>11900000</v>
      </c>
      <c r="E11" s="500">
        <f t="shared" ref="E11" si="3">F11-D11</f>
        <v>2100000</v>
      </c>
      <c r="F11" s="500">
        <f t="shared" ref="F11:F27" si="4">ROUND(D11*100/85,0)</f>
        <v>14000000</v>
      </c>
      <c r="G11" s="500">
        <v>11900000</v>
      </c>
      <c r="H11" s="500">
        <v>2100000</v>
      </c>
      <c r="I11" s="500">
        <v>14000000</v>
      </c>
      <c r="J11" s="151" t="s">
        <v>305</v>
      </c>
      <c r="K11" s="19" t="s">
        <v>516</v>
      </c>
      <c r="L11" s="138">
        <v>200</v>
      </c>
      <c r="M11" s="138">
        <v>200</v>
      </c>
      <c r="N11" s="212" t="s">
        <v>613</v>
      </c>
      <c r="O11" s="56" t="s">
        <v>516</v>
      </c>
      <c r="P11" s="224"/>
      <c r="Q11" s="138">
        <v>50</v>
      </c>
      <c r="R11" s="138">
        <v>50</v>
      </c>
      <c r="S11" s="431"/>
    </row>
    <row r="12" spans="1:31" ht="45.75" customHeight="1" x14ac:dyDescent="0.25">
      <c r="A12" s="466"/>
      <c r="B12" s="495"/>
      <c r="C12" s="466"/>
      <c r="D12" s="501"/>
      <c r="E12" s="501"/>
      <c r="F12" s="501"/>
      <c r="G12" s="501"/>
      <c r="H12" s="501"/>
      <c r="I12" s="501"/>
      <c r="J12" s="159" t="s">
        <v>596</v>
      </c>
      <c r="K12" s="19" t="s">
        <v>516</v>
      </c>
      <c r="L12" s="138">
        <v>200</v>
      </c>
      <c r="M12" s="138">
        <v>200</v>
      </c>
      <c r="N12" s="210" t="s">
        <v>306</v>
      </c>
      <c r="O12" s="56" t="s">
        <v>530</v>
      </c>
      <c r="P12" s="224"/>
      <c r="Q12" s="138">
        <v>100</v>
      </c>
      <c r="R12" s="138">
        <v>100</v>
      </c>
      <c r="S12" s="431"/>
    </row>
    <row r="13" spans="1:31" ht="30" x14ac:dyDescent="0.25">
      <c r="A13" s="22" t="s">
        <v>440</v>
      </c>
      <c r="B13" s="24"/>
      <c r="C13" s="22"/>
      <c r="D13" s="171">
        <f t="shared" ref="D13:I13" si="5">SUM(D14:D15)</f>
        <v>29412338</v>
      </c>
      <c r="E13" s="171">
        <f t="shared" si="5"/>
        <v>5190413</v>
      </c>
      <c r="F13" s="171">
        <f t="shared" si="5"/>
        <v>34602751</v>
      </c>
      <c r="G13" s="172">
        <f t="shared" si="5"/>
        <v>22694651</v>
      </c>
      <c r="H13" s="172">
        <f t="shared" si="5"/>
        <v>4004939</v>
      </c>
      <c r="I13" s="172">
        <f t="shared" si="5"/>
        <v>26699590</v>
      </c>
      <c r="J13" s="54"/>
      <c r="K13" s="24"/>
      <c r="L13" s="137"/>
      <c r="M13" s="137"/>
      <c r="N13" s="54"/>
      <c r="O13" s="54"/>
      <c r="P13" s="234"/>
      <c r="Q13" s="137"/>
      <c r="R13" s="137"/>
      <c r="S13" s="431"/>
    </row>
    <row r="14" spans="1:31" ht="90" x14ac:dyDescent="0.25">
      <c r="A14" s="21" t="s">
        <v>477</v>
      </c>
      <c r="B14" s="90">
        <v>139</v>
      </c>
      <c r="C14" s="23" t="s">
        <v>261</v>
      </c>
      <c r="D14" s="168">
        <v>9963275</v>
      </c>
      <c r="E14" s="168">
        <f t="shared" ref="E14" si="6">F14-D14</f>
        <v>1758225</v>
      </c>
      <c r="F14" s="168">
        <f t="shared" si="4"/>
        <v>11721500</v>
      </c>
      <c r="G14" s="169">
        <v>6162948</v>
      </c>
      <c r="H14" s="169">
        <f>I14-G14</f>
        <v>1087580</v>
      </c>
      <c r="I14" s="169">
        <v>7250528</v>
      </c>
      <c r="J14" s="162" t="s">
        <v>588</v>
      </c>
      <c r="K14" s="20" t="s">
        <v>520</v>
      </c>
      <c r="L14" s="139">
        <v>5286</v>
      </c>
      <c r="M14" s="140">
        <f>L14*I14/F14</f>
        <v>3269.7428663566948</v>
      </c>
      <c r="N14" s="215" t="s">
        <v>587</v>
      </c>
      <c r="O14" s="146" t="s">
        <v>526</v>
      </c>
      <c r="P14" s="230"/>
      <c r="Q14" s="139">
        <v>1071</v>
      </c>
      <c r="R14" s="140">
        <f>Q14*I14/F14</f>
        <v>662.48479187817259</v>
      </c>
      <c r="S14" s="21" t="s">
        <v>751</v>
      </c>
    </row>
    <row r="15" spans="1:31" ht="71.25" customHeight="1" x14ac:dyDescent="0.25">
      <c r="A15" s="21" t="s">
        <v>478</v>
      </c>
      <c r="B15" s="90">
        <v>146</v>
      </c>
      <c r="C15" s="23" t="s">
        <v>268</v>
      </c>
      <c r="D15" s="168">
        <v>19449063</v>
      </c>
      <c r="E15" s="168">
        <v>3432188</v>
      </c>
      <c r="F15" s="168">
        <v>22881251</v>
      </c>
      <c r="G15" s="169">
        <v>16531703</v>
      </c>
      <c r="H15" s="169">
        <f>I15-G15</f>
        <v>2917359</v>
      </c>
      <c r="I15" s="169">
        <v>19449062</v>
      </c>
      <c r="J15" s="187" t="s">
        <v>680</v>
      </c>
      <c r="K15" s="20" t="s">
        <v>515</v>
      </c>
      <c r="L15" s="139">
        <v>3457</v>
      </c>
      <c r="M15" s="140">
        <f>L15*I15/F15</f>
        <v>2938.4497960360645</v>
      </c>
      <c r="N15" s="146" t="s">
        <v>689</v>
      </c>
      <c r="O15" s="241"/>
      <c r="P15" s="230"/>
      <c r="Q15" s="139">
        <v>726</v>
      </c>
      <c r="R15" s="140">
        <f>Q15*I15/F15</f>
        <v>617.09995716580352</v>
      </c>
      <c r="S15" s="21" t="s">
        <v>751</v>
      </c>
      <c r="T15" s="18"/>
    </row>
    <row r="16" spans="1:31" ht="30" x14ac:dyDescent="0.25">
      <c r="A16" s="22" t="s">
        <v>457</v>
      </c>
      <c r="B16" s="24"/>
      <c r="C16" s="22"/>
      <c r="D16" s="171">
        <f t="shared" ref="D16:I16" si="7">SUM(D17:D23)</f>
        <v>55535876</v>
      </c>
      <c r="E16" s="171">
        <f t="shared" si="7"/>
        <v>9800449</v>
      </c>
      <c r="F16" s="171">
        <f t="shared" si="7"/>
        <v>65336325</v>
      </c>
      <c r="G16" s="172">
        <f t="shared" si="7"/>
        <v>43301198</v>
      </c>
      <c r="H16" s="172">
        <f t="shared" si="7"/>
        <v>7641388</v>
      </c>
      <c r="I16" s="172">
        <f t="shared" si="7"/>
        <v>50942586</v>
      </c>
      <c r="J16" s="54"/>
      <c r="K16" s="24"/>
      <c r="L16" s="137"/>
      <c r="M16" s="137"/>
      <c r="N16" s="54"/>
      <c r="O16" s="54"/>
      <c r="P16" s="234"/>
      <c r="Q16" s="137"/>
      <c r="R16" s="137"/>
      <c r="S16" s="431"/>
    </row>
    <row r="17" spans="1:19" ht="72.75" customHeight="1" x14ac:dyDescent="0.25">
      <c r="A17" s="464" t="s">
        <v>443</v>
      </c>
      <c r="B17" s="90" t="s">
        <v>116</v>
      </c>
      <c r="C17" s="23" t="s">
        <v>117</v>
      </c>
      <c r="D17" s="168">
        <v>2737000</v>
      </c>
      <c r="E17" s="168">
        <f t="shared" ref="E17:E22" si="8">F17-D17</f>
        <v>483000</v>
      </c>
      <c r="F17" s="168">
        <f t="shared" si="4"/>
        <v>3220000</v>
      </c>
      <c r="G17" s="169">
        <v>2030234</v>
      </c>
      <c r="H17" s="169">
        <f t="shared" ref="H17" si="9">I17-G17</f>
        <v>358277</v>
      </c>
      <c r="I17" s="169">
        <v>2388511</v>
      </c>
      <c r="J17" s="146" t="s">
        <v>584</v>
      </c>
      <c r="K17" s="20" t="s">
        <v>517</v>
      </c>
      <c r="L17" s="139">
        <v>2</v>
      </c>
      <c r="M17" s="140">
        <v>1</v>
      </c>
      <c r="N17" s="218" t="s">
        <v>330</v>
      </c>
      <c r="O17" s="146" t="s">
        <v>531</v>
      </c>
      <c r="P17" s="230"/>
      <c r="Q17" s="139">
        <v>4200</v>
      </c>
      <c r="R17" s="140">
        <f>Q17*I17/F17</f>
        <v>3115.4491304347825</v>
      </c>
      <c r="S17" s="21" t="s">
        <v>751</v>
      </c>
    </row>
    <row r="18" spans="1:19" ht="62.25" customHeight="1" x14ac:dyDescent="0.25">
      <c r="A18" s="465"/>
      <c r="B18" s="90" t="s">
        <v>118</v>
      </c>
      <c r="C18" s="21" t="s">
        <v>119</v>
      </c>
      <c r="D18" s="167">
        <v>7905000</v>
      </c>
      <c r="E18" s="167">
        <f t="shared" si="8"/>
        <v>1395000</v>
      </c>
      <c r="F18" s="167">
        <f t="shared" si="4"/>
        <v>9300000</v>
      </c>
      <c r="G18" s="167">
        <v>7905000</v>
      </c>
      <c r="H18" s="167">
        <v>1395000</v>
      </c>
      <c r="I18" s="167">
        <v>9300000</v>
      </c>
      <c r="J18" s="146" t="s">
        <v>584</v>
      </c>
      <c r="K18" s="19" t="s">
        <v>517</v>
      </c>
      <c r="L18" s="138">
        <v>10</v>
      </c>
      <c r="M18" s="138">
        <v>10</v>
      </c>
      <c r="N18" s="218" t="s">
        <v>330</v>
      </c>
      <c r="O18" s="56" t="s">
        <v>531</v>
      </c>
      <c r="P18" s="224"/>
      <c r="Q18" s="138">
        <v>11380</v>
      </c>
      <c r="R18" s="138">
        <v>11380</v>
      </c>
      <c r="S18" s="431"/>
    </row>
    <row r="19" spans="1:19" ht="69" customHeight="1" x14ac:dyDescent="0.25">
      <c r="A19" s="466"/>
      <c r="B19" s="90" t="s">
        <v>126</v>
      </c>
      <c r="C19" s="23" t="s">
        <v>127</v>
      </c>
      <c r="D19" s="168">
        <v>10132000</v>
      </c>
      <c r="E19" s="168">
        <f t="shared" si="8"/>
        <v>1788000</v>
      </c>
      <c r="F19" s="168">
        <f t="shared" si="4"/>
        <v>11920000</v>
      </c>
      <c r="G19" s="169">
        <v>7515648</v>
      </c>
      <c r="H19" s="169">
        <f t="shared" ref="H19" si="10">I19-G19</f>
        <v>1326291</v>
      </c>
      <c r="I19" s="169">
        <v>8841939</v>
      </c>
      <c r="J19" s="146" t="s">
        <v>584</v>
      </c>
      <c r="K19" s="20" t="s">
        <v>517</v>
      </c>
      <c r="L19" s="139">
        <v>4</v>
      </c>
      <c r="M19" s="140">
        <f>L19*I19/F19</f>
        <v>2.9670936241610737</v>
      </c>
      <c r="N19" s="218" t="s">
        <v>330</v>
      </c>
      <c r="O19" s="146" t="s">
        <v>531</v>
      </c>
      <c r="P19" s="230"/>
      <c r="Q19" s="139">
        <v>4548</v>
      </c>
      <c r="R19" s="140">
        <f>Q19*I19/F19</f>
        <v>3373.5854506711407</v>
      </c>
      <c r="S19" s="21" t="s">
        <v>751</v>
      </c>
    </row>
    <row r="20" spans="1:19" ht="60" x14ac:dyDescent="0.25">
      <c r="A20" s="464" t="s">
        <v>444</v>
      </c>
      <c r="B20" s="90" t="s">
        <v>186</v>
      </c>
      <c r="C20" s="21" t="s">
        <v>187</v>
      </c>
      <c r="D20" s="167">
        <v>7752510</v>
      </c>
      <c r="E20" s="167">
        <f t="shared" si="8"/>
        <v>1368090</v>
      </c>
      <c r="F20" s="167">
        <f t="shared" si="4"/>
        <v>9120600</v>
      </c>
      <c r="G20" s="167">
        <v>7752510</v>
      </c>
      <c r="H20" s="167">
        <v>1368090</v>
      </c>
      <c r="I20" s="167">
        <v>9120600</v>
      </c>
      <c r="J20" s="163" t="s">
        <v>344</v>
      </c>
      <c r="K20" s="19" t="s">
        <v>519</v>
      </c>
      <c r="L20" s="138">
        <v>1288</v>
      </c>
      <c r="M20" s="138">
        <v>1288</v>
      </c>
      <c r="N20" s="221" t="s">
        <v>341</v>
      </c>
      <c r="O20" s="56" t="s">
        <v>526</v>
      </c>
      <c r="P20" s="224"/>
      <c r="Q20" s="142">
        <v>169099</v>
      </c>
      <c r="R20" s="142">
        <v>169099</v>
      </c>
      <c r="S20" s="431"/>
    </row>
    <row r="21" spans="1:19" ht="35.25" customHeight="1" x14ac:dyDescent="0.25">
      <c r="A21" s="466"/>
      <c r="B21" s="90" t="s">
        <v>194</v>
      </c>
      <c r="C21" s="21" t="s">
        <v>195</v>
      </c>
      <c r="D21" s="167">
        <v>403750</v>
      </c>
      <c r="E21" s="167">
        <f t="shared" si="8"/>
        <v>71250</v>
      </c>
      <c r="F21" s="167">
        <f t="shared" si="4"/>
        <v>475000</v>
      </c>
      <c r="G21" s="167">
        <v>403750</v>
      </c>
      <c r="H21" s="167">
        <v>71250</v>
      </c>
      <c r="I21" s="167">
        <v>475000</v>
      </c>
      <c r="J21" s="166" t="s">
        <v>474</v>
      </c>
      <c r="K21" s="19" t="s">
        <v>536</v>
      </c>
      <c r="L21" s="138">
        <v>38</v>
      </c>
      <c r="M21" s="138">
        <v>38</v>
      </c>
      <c r="N21" s="56"/>
      <c r="O21" s="56"/>
      <c r="P21" s="224"/>
      <c r="Q21" s="138"/>
      <c r="R21" s="138"/>
      <c r="S21" s="431"/>
    </row>
    <row r="22" spans="1:19" ht="61.5" customHeight="1" x14ac:dyDescent="0.25">
      <c r="A22" s="464" t="s">
        <v>458</v>
      </c>
      <c r="B22" s="494" t="s">
        <v>118</v>
      </c>
      <c r="C22" s="496" t="s">
        <v>119</v>
      </c>
      <c r="D22" s="498">
        <v>26605616</v>
      </c>
      <c r="E22" s="498">
        <f t="shared" si="8"/>
        <v>4695109</v>
      </c>
      <c r="F22" s="498">
        <f t="shared" si="4"/>
        <v>31300725</v>
      </c>
      <c r="G22" s="492">
        <v>17694056</v>
      </c>
      <c r="H22" s="492">
        <f t="shared" ref="H22" si="11">I22-G22</f>
        <v>3122480</v>
      </c>
      <c r="I22" s="492">
        <v>20816536</v>
      </c>
      <c r="J22" s="146" t="s">
        <v>584</v>
      </c>
      <c r="K22" s="20" t="s">
        <v>517</v>
      </c>
      <c r="L22" s="139">
        <v>15</v>
      </c>
      <c r="M22" s="140">
        <f>L22*I22/F22</f>
        <v>9.9757446512820387</v>
      </c>
      <c r="N22" s="218" t="s">
        <v>330</v>
      </c>
      <c r="O22" s="146" t="s">
        <v>531</v>
      </c>
      <c r="P22" s="230"/>
      <c r="Q22" s="143">
        <v>17070</v>
      </c>
      <c r="R22" s="141">
        <f>Q22*I22/F22</f>
        <v>11352.39741315896</v>
      </c>
      <c r="S22" s="21" t="s">
        <v>751</v>
      </c>
    </row>
    <row r="23" spans="1:19" ht="32.25" customHeight="1" x14ac:dyDescent="0.25">
      <c r="A23" s="466"/>
      <c r="B23" s="495"/>
      <c r="C23" s="497"/>
      <c r="D23" s="499"/>
      <c r="E23" s="499"/>
      <c r="F23" s="499"/>
      <c r="G23" s="493"/>
      <c r="H23" s="493"/>
      <c r="I23" s="493"/>
      <c r="J23" s="184" t="s">
        <v>472</v>
      </c>
      <c r="K23" s="20" t="s">
        <v>532</v>
      </c>
      <c r="L23" s="139">
        <v>3000</v>
      </c>
      <c r="M23" s="140">
        <f>L23*I22/F22</f>
        <v>1995.1489302564078</v>
      </c>
      <c r="N23" s="146"/>
      <c r="O23" s="146"/>
      <c r="P23" s="230"/>
      <c r="Q23" s="139"/>
      <c r="R23" s="139"/>
      <c r="S23" s="21" t="s">
        <v>751</v>
      </c>
    </row>
    <row r="24" spans="1:19" ht="45" x14ac:dyDescent="0.25">
      <c r="A24" s="22" t="s">
        <v>456</v>
      </c>
      <c r="B24" s="24"/>
      <c r="C24" s="22"/>
      <c r="D24" s="171">
        <f>SUM(D25)</f>
        <v>6725370</v>
      </c>
      <c r="E24" s="171">
        <f t="shared" ref="E24:I24" si="12">SUM(E25)</f>
        <v>1186830</v>
      </c>
      <c r="F24" s="171">
        <f t="shared" si="12"/>
        <v>7912200</v>
      </c>
      <c r="G24" s="171">
        <f t="shared" si="12"/>
        <v>6725370</v>
      </c>
      <c r="H24" s="171">
        <f t="shared" si="12"/>
        <v>1186830</v>
      </c>
      <c r="I24" s="171">
        <f t="shared" si="12"/>
        <v>7912200</v>
      </c>
      <c r="J24" s="54"/>
      <c r="K24" s="24"/>
      <c r="L24" s="137"/>
      <c r="M24" s="137"/>
      <c r="N24" s="54"/>
      <c r="O24" s="54"/>
      <c r="P24" s="234"/>
      <c r="Q24" s="137"/>
      <c r="R24" s="137"/>
      <c r="S24" s="431"/>
    </row>
    <row r="25" spans="1:19" ht="62.25" customHeight="1" x14ac:dyDescent="0.25">
      <c r="A25" s="21" t="s">
        <v>456</v>
      </c>
      <c r="B25" s="90" t="s">
        <v>168</v>
      </c>
      <c r="C25" s="21" t="s">
        <v>169</v>
      </c>
      <c r="D25" s="167">
        <v>6725370</v>
      </c>
      <c r="E25" s="167">
        <f>F25-D25</f>
        <v>1186830</v>
      </c>
      <c r="F25" s="167">
        <f t="shared" si="4"/>
        <v>7912200</v>
      </c>
      <c r="G25" s="167">
        <v>6725370</v>
      </c>
      <c r="H25" s="167">
        <v>1186830</v>
      </c>
      <c r="I25" s="167">
        <v>7912200</v>
      </c>
      <c r="J25" s="180" t="s">
        <v>336</v>
      </c>
      <c r="K25" s="19" t="s">
        <v>535</v>
      </c>
      <c r="L25" s="138">
        <v>19</v>
      </c>
      <c r="M25" s="138">
        <v>19</v>
      </c>
      <c r="N25" s="180" t="s">
        <v>339</v>
      </c>
      <c r="O25" s="56" t="s">
        <v>518</v>
      </c>
      <c r="P25" s="224"/>
      <c r="Q25" s="138">
        <v>10</v>
      </c>
      <c r="R25" s="138">
        <v>10</v>
      </c>
      <c r="S25" s="431"/>
    </row>
    <row r="26" spans="1:19" ht="30" x14ac:dyDescent="0.25">
      <c r="A26" s="22" t="s">
        <v>454</v>
      </c>
      <c r="B26" s="24"/>
      <c r="C26" s="22"/>
      <c r="D26" s="171">
        <f>SUM(D27:D29)</f>
        <v>17850000</v>
      </c>
      <c r="E26" s="171">
        <f t="shared" ref="E26:I26" si="13">SUM(E27:E29)</f>
        <v>3150000</v>
      </c>
      <c r="F26" s="171">
        <f t="shared" si="13"/>
        <v>21000000</v>
      </c>
      <c r="G26" s="171">
        <f t="shared" si="13"/>
        <v>17850000</v>
      </c>
      <c r="H26" s="171">
        <f t="shared" si="13"/>
        <v>3150000</v>
      </c>
      <c r="I26" s="171">
        <f t="shared" si="13"/>
        <v>21000000</v>
      </c>
      <c r="J26" s="54"/>
      <c r="K26" s="24"/>
      <c r="L26" s="137"/>
      <c r="M26" s="137"/>
      <c r="N26" s="54"/>
      <c r="O26" s="54"/>
      <c r="P26" s="234"/>
      <c r="Q26" s="137"/>
      <c r="R26" s="137"/>
      <c r="S26" s="431"/>
    </row>
    <row r="27" spans="1:19" ht="45" x14ac:dyDescent="0.25">
      <c r="A27" s="464" t="s">
        <v>455</v>
      </c>
      <c r="B27" s="494" t="s">
        <v>174</v>
      </c>
      <c r="C27" s="464" t="s">
        <v>175</v>
      </c>
      <c r="D27" s="500">
        <v>17850000</v>
      </c>
      <c r="E27" s="500">
        <f>F27-D27</f>
        <v>3150000</v>
      </c>
      <c r="F27" s="500">
        <f t="shared" si="4"/>
        <v>21000000</v>
      </c>
      <c r="G27" s="500">
        <v>17850000</v>
      </c>
      <c r="H27" s="500">
        <v>3150000</v>
      </c>
      <c r="I27" s="500">
        <v>21000000</v>
      </c>
      <c r="J27" s="156" t="s">
        <v>305</v>
      </c>
      <c r="K27" s="19" t="s">
        <v>516</v>
      </c>
      <c r="L27" s="138">
        <v>1</v>
      </c>
      <c r="M27" s="138">
        <v>1</v>
      </c>
      <c r="N27" s="56"/>
      <c r="O27" s="56"/>
      <c r="P27" s="224"/>
      <c r="Q27" s="138"/>
      <c r="R27" s="138"/>
      <c r="S27" s="431"/>
    </row>
    <row r="28" spans="1:19" ht="54.75" customHeight="1" x14ac:dyDescent="0.25">
      <c r="A28" s="465"/>
      <c r="B28" s="506"/>
      <c r="C28" s="465"/>
      <c r="D28" s="502"/>
      <c r="E28" s="502"/>
      <c r="F28" s="502"/>
      <c r="G28" s="502"/>
      <c r="H28" s="502"/>
      <c r="I28" s="502"/>
      <c r="J28" s="155" t="s">
        <v>494</v>
      </c>
      <c r="K28" s="19" t="s">
        <v>516</v>
      </c>
      <c r="L28" s="138">
        <v>1</v>
      </c>
      <c r="M28" s="138">
        <v>1</v>
      </c>
      <c r="N28" s="56"/>
      <c r="O28" s="56"/>
      <c r="P28" s="224"/>
      <c r="Q28" s="138"/>
      <c r="R28" s="138"/>
      <c r="S28" s="431"/>
    </row>
    <row r="29" spans="1:19" ht="90" x14ac:dyDescent="0.25">
      <c r="A29" s="466"/>
      <c r="B29" s="495"/>
      <c r="C29" s="466"/>
      <c r="D29" s="501"/>
      <c r="E29" s="501"/>
      <c r="F29" s="501"/>
      <c r="G29" s="501"/>
      <c r="H29" s="501"/>
      <c r="I29" s="501"/>
      <c r="J29" s="181" t="s">
        <v>731</v>
      </c>
      <c r="K29" s="19" t="s">
        <v>516</v>
      </c>
      <c r="L29" s="138">
        <v>1</v>
      </c>
      <c r="M29" s="138">
        <v>1</v>
      </c>
      <c r="N29" s="181" t="s">
        <v>319</v>
      </c>
      <c r="O29" s="56" t="s">
        <v>537</v>
      </c>
      <c r="P29" s="235">
        <v>1423098</v>
      </c>
      <c r="Q29" s="142">
        <v>1298204</v>
      </c>
      <c r="R29" s="142">
        <v>1298204</v>
      </c>
      <c r="S29" s="431"/>
    </row>
    <row r="30" spans="1:19" ht="60" x14ac:dyDescent="0.25">
      <c r="A30" s="21" t="s">
        <v>452</v>
      </c>
      <c r="B30" s="19" t="s">
        <v>66</v>
      </c>
      <c r="C30" s="21" t="s">
        <v>67</v>
      </c>
      <c r="D30" s="190">
        <v>0</v>
      </c>
      <c r="E30" s="190">
        <v>0</v>
      </c>
      <c r="F30" s="190">
        <v>0</v>
      </c>
      <c r="G30" s="190">
        <v>0</v>
      </c>
      <c r="H30" s="190">
        <v>0</v>
      </c>
      <c r="I30" s="190">
        <v>0</v>
      </c>
      <c r="J30" s="56"/>
      <c r="K30" s="19"/>
      <c r="L30" s="138"/>
      <c r="M30" s="138"/>
      <c r="N30" s="56"/>
      <c r="O30" s="56"/>
      <c r="P30" s="224"/>
      <c r="Q30" s="138"/>
      <c r="R30" s="138"/>
      <c r="S30" s="432"/>
    </row>
    <row r="31" spans="1:19" x14ac:dyDescent="0.25">
      <c r="J31" s="147"/>
      <c r="L31" s="144"/>
      <c r="M31" s="144"/>
      <c r="N31" s="147"/>
      <c r="Q31" s="144"/>
      <c r="R31" s="144"/>
    </row>
    <row r="32" spans="1:19" x14ac:dyDescent="0.25">
      <c r="J32" s="147"/>
      <c r="N32" s="147"/>
    </row>
    <row r="33" spans="10:15" x14ac:dyDescent="0.25">
      <c r="J33" s="118" t="s">
        <v>701</v>
      </c>
      <c r="K33" s="132">
        <f>M10+M15</f>
        <v>3013.4497960360645</v>
      </c>
      <c r="N33" s="118" t="s">
        <v>715</v>
      </c>
      <c r="O33" s="132">
        <f>R10+R15</f>
        <v>692.09995716580352</v>
      </c>
    </row>
    <row r="34" spans="10:15" x14ac:dyDescent="0.25">
      <c r="J34" s="118" t="s">
        <v>723</v>
      </c>
      <c r="K34" s="132">
        <f>M8+M11+M27</f>
        <v>375</v>
      </c>
      <c r="N34" s="118" t="s">
        <v>714</v>
      </c>
      <c r="O34" s="132">
        <f>R8+R12</f>
        <v>751</v>
      </c>
    </row>
    <row r="35" spans="10:15" x14ac:dyDescent="0.25">
      <c r="J35" s="118" t="s">
        <v>724</v>
      </c>
      <c r="K35" s="132">
        <f>M9+M28</f>
        <v>175</v>
      </c>
      <c r="N35" s="118" t="s">
        <v>716</v>
      </c>
      <c r="O35" s="132">
        <f>R11</f>
        <v>50</v>
      </c>
    </row>
    <row r="36" spans="10:15" x14ac:dyDescent="0.25">
      <c r="J36" s="118" t="s">
        <v>704</v>
      </c>
      <c r="K36" s="132">
        <f>M12</f>
        <v>200</v>
      </c>
      <c r="N36" s="118" t="s">
        <v>720</v>
      </c>
      <c r="O36" s="132">
        <f>R14</f>
        <v>662.48479187817259</v>
      </c>
    </row>
    <row r="37" spans="10:15" x14ac:dyDescent="0.25">
      <c r="J37" s="118" t="s">
        <v>710</v>
      </c>
      <c r="K37" s="132">
        <f>M14</f>
        <v>3269.7428663566948</v>
      </c>
      <c r="N37" s="118" t="s">
        <v>717</v>
      </c>
      <c r="O37" s="132">
        <f>R17+R18+R19+R22</f>
        <v>29221.431994264884</v>
      </c>
    </row>
    <row r="38" spans="10:15" x14ac:dyDescent="0.25">
      <c r="J38" s="118" t="s">
        <v>707</v>
      </c>
      <c r="K38" s="132">
        <f>M17+M18+M19+M22</f>
        <v>23.942838275443112</v>
      </c>
      <c r="N38" s="118" t="s">
        <v>719</v>
      </c>
      <c r="O38" s="132">
        <f>R20</f>
        <v>169099</v>
      </c>
    </row>
    <row r="39" spans="10:15" x14ac:dyDescent="0.25">
      <c r="J39" s="118" t="s">
        <v>709</v>
      </c>
      <c r="K39" s="132">
        <f>M20</f>
        <v>1288</v>
      </c>
      <c r="N39" s="118" t="s">
        <v>718</v>
      </c>
      <c r="O39" s="132">
        <f>R25</f>
        <v>10</v>
      </c>
    </row>
    <row r="40" spans="10:15" x14ac:dyDescent="0.25">
      <c r="J40" s="118" t="s">
        <v>712</v>
      </c>
      <c r="K40" s="132">
        <f>M21</f>
        <v>38</v>
      </c>
      <c r="N40" s="118" t="s">
        <v>733</v>
      </c>
      <c r="O40" s="132">
        <f>R29</f>
        <v>1298204</v>
      </c>
    </row>
    <row r="41" spans="10:15" x14ac:dyDescent="0.25">
      <c r="J41" s="118" t="s">
        <v>711</v>
      </c>
      <c r="K41" s="132">
        <f>M23</f>
        <v>1995.1489302564078</v>
      </c>
    </row>
    <row r="42" spans="10:15" x14ac:dyDescent="0.25">
      <c r="J42" s="118" t="s">
        <v>708</v>
      </c>
      <c r="K42" s="132">
        <f>M25</f>
        <v>19</v>
      </c>
    </row>
    <row r="43" spans="10:15" x14ac:dyDescent="0.25">
      <c r="J43" s="118" t="s">
        <v>732</v>
      </c>
      <c r="K43" s="132">
        <f>M29</f>
        <v>1</v>
      </c>
    </row>
    <row r="44" spans="10:15" x14ac:dyDescent="0.25">
      <c r="J44" s="147"/>
    </row>
    <row r="45" spans="10:15" x14ac:dyDescent="0.25">
      <c r="J45" s="147"/>
    </row>
    <row r="46" spans="10:15" x14ac:dyDescent="0.25">
      <c r="J46" s="147"/>
    </row>
    <row r="47" spans="10:15" x14ac:dyDescent="0.25">
      <c r="J47" s="147"/>
    </row>
  </sheetData>
  <autoFilter ref="A2:Q30" xr:uid="{BBE2912C-93E4-493F-881A-621056759E2F}"/>
  <mergeCells count="38">
    <mergeCell ref="I8:I10"/>
    <mergeCell ref="A11:A12"/>
    <mergeCell ref="B11:B12"/>
    <mergeCell ref="C11:C12"/>
    <mergeCell ref="D11:D12"/>
    <mergeCell ref="E11:E12"/>
    <mergeCell ref="F11:F12"/>
    <mergeCell ref="A8:A10"/>
    <mergeCell ref="B8:B10"/>
    <mergeCell ref="C8:C10"/>
    <mergeCell ref="D8:D10"/>
    <mergeCell ref="E8:E10"/>
    <mergeCell ref="E22:E23"/>
    <mergeCell ref="F22:F23"/>
    <mergeCell ref="F8:F10"/>
    <mergeCell ref="G8:G10"/>
    <mergeCell ref="H8:H10"/>
    <mergeCell ref="A17:A19"/>
    <mergeCell ref="A22:A23"/>
    <mergeCell ref="B22:B23"/>
    <mergeCell ref="C22:C23"/>
    <mergeCell ref="D22:D23"/>
    <mergeCell ref="A20:A21"/>
    <mergeCell ref="F27:F29"/>
    <mergeCell ref="G27:G29"/>
    <mergeCell ref="G11:G12"/>
    <mergeCell ref="H11:H12"/>
    <mergeCell ref="I11:I12"/>
    <mergeCell ref="H27:H29"/>
    <mergeCell ref="I27:I29"/>
    <mergeCell ref="G22:G23"/>
    <mergeCell ref="H22:H23"/>
    <mergeCell ref="I22:I23"/>
    <mergeCell ref="A27:A29"/>
    <mergeCell ref="B27:B29"/>
    <mergeCell ref="C27:C29"/>
    <mergeCell ref="D27:D29"/>
    <mergeCell ref="E27:E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BC81D-0BF8-4203-988F-B544529B12B8}">
  <sheetPr>
    <tabColor rgb="FF00B0F0"/>
  </sheetPr>
  <dimension ref="A2:M12"/>
  <sheetViews>
    <sheetView workbookViewId="0">
      <selection activeCell="D19" sqref="D19"/>
    </sheetView>
  </sheetViews>
  <sheetFormatPr defaultRowHeight="15" x14ac:dyDescent="0.25"/>
  <cols>
    <col min="1" max="1" width="22.42578125" style="14" customWidth="1"/>
    <col min="2" max="2" width="12.42578125" style="13" customWidth="1"/>
    <col min="3" max="3" width="41.28515625" style="14" customWidth="1"/>
    <col min="4" max="4" width="16.28515625" style="15" bestFit="1" customWidth="1"/>
    <col min="5" max="5" width="16.42578125" style="15" customWidth="1"/>
    <col min="6" max="6" width="17.42578125" style="15" customWidth="1"/>
    <col min="7" max="7" width="30.28515625" style="14" customWidth="1"/>
    <col min="8" max="8" width="11.140625" style="14" customWidth="1"/>
    <col min="9" max="9" width="11.42578125" style="13" customWidth="1"/>
    <col min="10" max="10" width="10" style="14" customWidth="1"/>
    <col min="11" max="16384" width="9.140625" style="14"/>
  </cols>
  <sheetData>
    <row r="2" spans="1:13" s="42" customFormat="1" ht="45" x14ac:dyDescent="0.25">
      <c r="A2" s="34" t="s">
        <v>377</v>
      </c>
      <c r="B2" s="198" t="s">
        <v>378</v>
      </c>
      <c r="C2" s="34" t="s">
        <v>379</v>
      </c>
      <c r="D2" s="38" t="s">
        <v>411</v>
      </c>
      <c r="E2" s="38" t="s">
        <v>412</v>
      </c>
      <c r="F2" s="38" t="s">
        <v>413</v>
      </c>
      <c r="G2" s="34" t="s">
        <v>385</v>
      </c>
      <c r="H2" s="40" t="s">
        <v>514</v>
      </c>
      <c r="I2" s="34">
        <v>2029</v>
      </c>
      <c r="J2" s="34" t="s">
        <v>386</v>
      </c>
      <c r="K2" s="34" t="s">
        <v>514</v>
      </c>
      <c r="L2" s="34" t="s">
        <v>500</v>
      </c>
      <c r="M2" s="34">
        <v>2029</v>
      </c>
    </row>
    <row r="3" spans="1:13" s="37" customFormat="1" x14ac:dyDescent="0.25">
      <c r="A3" s="31" t="s">
        <v>394</v>
      </c>
      <c r="B3" s="198"/>
      <c r="C3" s="31" t="s">
        <v>574</v>
      </c>
      <c r="D3" s="35">
        <v>2139715532</v>
      </c>
      <c r="E3" s="35">
        <v>391022526</v>
      </c>
      <c r="F3" s="35">
        <v>2530738058</v>
      </c>
      <c r="G3" s="31"/>
      <c r="H3" s="31"/>
      <c r="I3" s="127"/>
      <c r="J3" s="34"/>
      <c r="K3" s="34"/>
      <c r="L3" s="34"/>
      <c r="M3" s="31"/>
    </row>
    <row r="4" spans="1:13" s="37" customFormat="1" ht="30" x14ac:dyDescent="0.25">
      <c r="A4" s="31" t="s">
        <v>395</v>
      </c>
      <c r="B4" s="198"/>
      <c r="C4" s="31" t="s">
        <v>577</v>
      </c>
      <c r="D4" s="35">
        <v>85588621</v>
      </c>
      <c r="E4" s="35">
        <v>28529539</v>
      </c>
      <c r="F4" s="35">
        <v>114118160</v>
      </c>
      <c r="G4" s="31"/>
      <c r="H4" s="31"/>
      <c r="I4" s="133"/>
      <c r="J4" s="31"/>
      <c r="K4" s="31"/>
      <c r="L4" s="31"/>
      <c r="M4" s="31"/>
    </row>
    <row r="5" spans="1:13" x14ac:dyDescent="0.25">
      <c r="A5" s="22" t="s">
        <v>430</v>
      </c>
      <c r="B5" s="22"/>
      <c r="C5" s="22" t="s">
        <v>578</v>
      </c>
      <c r="D5" s="27">
        <f>SUM(D7:D12)</f>
        <v>85588621</v>
      </c>
      <c r="E5" s="27">
        <f t="shared" ref="E5:F5" si="0">SUM(E7:E12)</f>
        <v>28529539</v>
      </c>
      <c r="F5" s="27">
        <f t="shared" si="0"/>
        <v>114118160</v>
      </c>
      <c r="G5" s="22"/>
      <c r="H5" s="22"/>
      <c r="I5" s="134"/>
      <c r="J5" s="22"/>
      <c r="K5" s="22"/>
      <c r="L5" s="22"/>
      <c r="M5" s="22"/>
    </row>
    <row r="6" spans="1:13" x14ac:dyDescent="0.25">
      <c r="A6" s="21" t="s">
        <v>401</v>
      </c>
      <c r="B6" s="199"/>
      <c r="C6" s="21"/>
      <c r="D6" s="25">
        <f>D5-D4</f>
        <v>0</v>
      </c>
      <c r="E6" s="25">
        <f t="shared" ref="E6:F6" si="1">E5-E4</f>
        <v>0</v>
      </c>
      <c r="F6" s="25">
        <f t="shared" si="1"/>
        <v>0</v>
      </c>
      <c r="G6" s="21"/>
      <c r="H6" s="21"/>
      <c r="I6" s="135"/>
      <c r="J6" s="21"/>
      <c r="K6" s="21"/>
      <c r="L6" s="21"/>
      <c r="M6" s="21"/>
    </row>
    <row r="7" spans="1:13" ht="30" x14ac:dyDescent="0.25">
      <c r="A7" s="21"/>
      <c r="B7" s="199">
        <v>179</v>
      </c>
      <c r="C7" s="21" t="s">
        <v>301</v>
      </c>
      <c r="D7" s="25">
        <v>8700000</v>
      </c>
      <c r="E7" s="25">
        <v>2900000</v>
      </c>
      <c r="F7" s="25">
        <v>11600000</v>
      </c>
      <c r="G7" s="21" t="s">
        <v>435</v>
      </c>
      <c r="H7" s="21" t="s">
        <v>538</v>
      </c>
      <c r="I7" s="138">
        <v>7</v>
      </c>
      <c r="J7" s="21"/>
      <c r="K7" s="21"/>
      <c r="L7" s="21"/>
      <c r="M7" s="21"/>
    </row>
    <row r="8" spans="1:13" ht="30" x14ac:dyDescent="0.25">
      <c r="A8" s="21"/>
      <c r="B8" s="199">
        <v>181</v>
      </c>
      <c r="C8" s="21" t="s">
        <v>303</v>
      </c>
      <c r="D8" s="25">
        <v>1397025</v>
      </c>
      <c r="E8" s="25">
        <v>465675</v>
      </c>
      <c r="F8" s="25">
        <v>1862700</v>
      </c>
      <c r="G8" s="21" t="s">
        <v>434</v>
      </c>
      <c r="H8" s="21" t="s">
        <v>538</v>
      </c>
      <c r="I8" s="138">
        <v>3</v>
      </c>
      <c r="J8" s="21"/>
      <c r="K8" s="21"/>
      <c r="L8" s="21"/>
      <c r="M8" s="21"/>
    </row>
    <row r="9" spans="1:13" ht="50.25" customHeight="1" x14ac:dyDescent="0.25">
      <c r="A9" s="21" t="s">
        <v>473</v>
      </c>
      <c r="B9" s="199">
        <v>180</v>
      </c>
      <c r="C9" s="21" t="s">
        <v>302</v>
      </c>
      <c r="D9" s="25">
        <v>72339938</v>
      </c>
      <c r="E9" s="25">
        <v>24113312</v>
      </c>
      <c r="F9" s="25">
        <v>96453250</v>
      </c>
      <c r="G9" s="21" t="s">
        <v>437</v>
      </c>
      <c r="H9" s="21" t="s">
        <v>539</v>
      </c>
      <c r="I9" s="138">
        <v>375</v>
      </c>
      <c r="J9" s="21"/>
      <c r="K9" s="21"/>
      <c r="L9" s="21"/>
      <c r="M9" s="21"/>
    </row>
    <row r="10" spans="1:13" ht="58.5" customHeight="1" x14ac:dyDescent="0.25">
      <c r="A10" s="21" t="s">
        <v>399</v>
      </c>
      <c r="B10" s="199"/>
      <c r="C10" s="21"/>
      <c r="D10" s="25">
        <v>1206000</v>
      </c>
      <c r="E10" s="25">
        <v>402000</v>
      </c>
      <c r="F10" s="25">
        <v>1608000</v>
      </c>
      <c r="G10" s="21" t="s">
        <v>436</v>
      </c>
      <c r="H10" s="21" t="s">
        <v>515</v>
      </c>
      <c r="I10" s="138">
        <v>4000</v>
      </c>
      <c r="J10" s="21"/>
      <c r="K10" s="21"/>
      <c r="L10" s="21"/>
      <c r="M10" s="21"/>
    </row>
    <row r="11" spans="1:13" ht="45" x14ac:dyDescent="0.25">
      <c r="A11" s="21" t="s">
        <v>398</v>
      </c>
      <c r="B11" s="199">
        <v>182</v>
      </c>
      <c r="C11" s="21" t="s">
        <v>304</v>
      </c>
      <c r="D11" s="25">
        <v>843750</v>
      </c>
      <c r="E11" s="25">
        <v>281250</v>
      </c>
      <c r="F11" s="25">
        <v>1125000</v>
      </c>
      <c r="G11" s="21"/>
      <c r="H11" s="21"/>
      <c r="I11" s="138"/>
      <c r="J11" s="21"/>
      <c r="K11" s="21"/>
      <c r="L11" s="21"/>
      <c r="M11" s="21"/>
    </row>
    <row r="12" spans="1:13" ht="45" x14ac:dyDescent="0.25">
      <c r="A12" s="21" t="s">
        <v>400</v>
      </c>
      <c r="B12" s="199"/>
      <c r="C12" s="21"/>
      <c r="D12" s="25">
        <v>1101908</v>
      </c>
      <c r="E12" s="25">
        <v>367302</v>
      </c>
      <c r="F12" s="25">
        <v>1469210</v>
      </c>
      <c r="G12" s="21" t="s">
        <v>438</v>
      </c>
      <c r="H12" s="21" t="s">
        <v>540</v>
      </c>
      <c r="I12" s="142">
        <v>1469211</v>
      </c>
      <c r="J12" s="21"/>
      <c r="K12" s="21"/>
      <c r="L12" s="21"/>
      <c r="M12" s="21"/>
    </row>
  </sheetData>
  <autoFilter ref="A2:M12" xr:uid="{3CFBC81D-0BF8-4203-988F-B544529B12B8}"/>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7F5A8-4D88-4939-8B06-97D05F56B9D8}">
  <sheetPr>
    <tabColor rgb="FF00B0F0"/>
  </sheetPr>
  <dimension ref="A2:U31"/>
  <sheetViews>
    <sheetView topLeftCell="F10" zoomScale="80" zoomScaleNormal="80" workbookViewId="0">
      <selection activeCell="T2" sqref="T2"/>
    </sheetView>
  </sheetViews>
  <sheetFormatPr defaultRowHeight="15" x14ac:dyDescent="0.25"/>
  <cols>
    <col min="1" max="1" width="47.28515625" style="14" customWidth="1"/>
    <col min="2" max="2" width="13.28515625" style="13" customWidth="1"/>
    <col min="3" max="3" width="45.42578125" style="14" customWidth="1"/>
    <col min="4" max="4" width="21.28515625" style="14" bestFit="1" customWidth="1"/>
    <col min="5" max="5" width="15.85546875" style="14" bestFit="1" customWidth="1"/>
    <col min="6" max="6" width="17.42578125" style="14" bestFit="1" customWidth="1"/>
    <col min="7" max="9" width="17.42578125" style="14" customWidth="1"/>
    <col min="10" max="10" width="41" style="14" customWidth="1"/>
    <col min="11" max="11" width="16" style="14" customWidth="1"/>
    <col min="12" max="12" width="11.85546875" style="13" bestFit="1" customWidth="1"/>
    <col min="13" max="13" width="13.140625" style="13" customWidth="1"/>
    <col min="14" max="14" width="39.42578125" style="14" customWidth="1"/>
    <col min="15" max="15" width="17.7109375" style="14" bestFit="1" customWidth="1"/>
    <col min="16" max="16" width="13.85546875" style="13" bestFit="1" customWidth="1"/>
    <col min="17" max="17" width="16.28515625" style="13" bestFit="1" customWidth="1"/>
    <col min="18" max="19" width="16.28515625" style="13" customWidth="1"/>
    <col min="20" max="20" width="40.28515625" style="14" customWidth="1"/>
    <col min="21" max="21" width="18.7109375" style="14" bestFit="1" customWidth="1"/>
    <col min="22" max="23" width="9.140625" style="14"/>
    <col min="24" max="24" width="12.140625" style="14" customWidth="1"/>
    <col min="25" max="16384" width="9.140625" style="14"/>
  </cols>
  <sheetData>
    <row r="2" spans="1:21" s="42" customFormat="1" ht="30" x14ac:dyDescent="0.25">
      <c r="A2" s="34" t="s">
        <v>377</v>
      </c>
      <c r="B2" s="79" t="s">
        <v>378</v>
      </c>
      <c r="C2" s="34" t="s">
        <v>379</v>
      </c>
      <c r="D2" s="49" t="s">
        <v>411</v>
      </c>
      <c r="E2" s="49" t="s">
        <v>412</v>
      </c>
      <c r="F2" s="49" t="s">
        <v>413</v>
      </c>
      <c r="G2" s="50" t="s">
        <v>507</v>
      </c>
      <c r="H2" s="50" t="s">
        <v>508</v>
      </c>
      <c r="I2" s="50" t="s">
        <v>509</v>
      </c>
      <c r="J2" s="34" t="s">
        <v>385</v>
      </c>
      <c r="K2" s="40" t="s">
        <v>514</v>
      </c>
      <c r="L2" s="51">
        <v>2029</v>
      </c>
      <c r="M2" s="52" t="s">
        <v>506</v>
      </c>
      <c r="N2" s="51" t="s">
        <v>386</v>
      </c>
      <c r="O2" s="52" t="s">
        <v>514</v>
      </c>
      <c r="P2" s="51" t="s">
        <v>492</v>
      </c>
      <c r="Q2" s="51">
        <v>2029</v>
      </c>
      <c r="R2" s="52" t="s">
        <v>559</v>
      </c>
      <c r="S2" s="52" t="s">
        <v>506</v>
      </c>
      <c r="T2" s="208" t="s">
        <v>750</v>
      </c>
    </row>
    <row r="3" spans="1:21" s="37" customFormat="1" x14ac:dyDescent="0.25">
      <c r="A3" s="31" t="s">
        <v>572</v>
      </c>
      <c r="B3" s="79"/>
      <c r="C3" s="31" t="s">
        <v>574</v>
      </c>
      <c r="D3" s="35">
        <v>2139715532</v>
      </c>
      <c r="E3" s="35">
        <v>391022526</v>
      </c>
      <c r="F3" s="35">
        <v>2530738058</v>
      </c>
      <c r="G3" s="35">
        <v>2139715532</v>
      </c>
      <c r="H3" s="35">
        <v>391022526</v>
      </c>
      <c r="I3" s="35">
        <v>2530738058</v>
      </c>
      <c r="J3" s="31"/>
      <c r="K3" s="31"/>
      <c r="L3" s="31"/>
      <c r="M3" s="31"/>
      <c r="N3" s="34"/>
      <c r="O3" s="34"/>
      <c r="P3" s="34"/>
      <c r="Q3" s="31"/>
      <c r="R3" s="31"/>
      <c r="S3" s="31"/>
      <c r="T3" s="430"/>
    </row>
    <row r="4" spans="1:21" s="37" customFormat="1" x14ac:dyDescent="0.25">
      <c r="A4" s="31" t="s">
        <v>501</v>
      </c>
      <c r="B4" s="79"/>
      <c r="C4" s="31" t="s">
        <v>504</v>
      </c>
      <c r="D4" s="35">
        <v>266327996</v>
      </c>
      <c r="E4" s="35">
        <v>46999058</v>
      </c>
      <c r="F4" s="35">
        <v>313327054</v>
      </c>
      <c r="G4" s="35">
        <v>266327996</v>
      </c>
      <c r="H4" s="53">
        <v>46999057</v>
      </c>
      <c r="I4" s="53">
        <v>313327053</v>
      </c>
      <c r="J4" s="31"/>
      <c r="K4" s="31"/>
      <c r="L4" s="34"/>
      <c r="M4" s="34"/>
      <c r="N4" s="31"/>
      <c r="O4" s="31"/>
      <c r="P4" s="31"/>
      <c r="Q4" s="31"/>
      <c r="R4" s="31"/>
      <c r="S4" s="31"/>
      <c r="T4" s="430"/>
    </row>
    <row r="5" spans="1:21" x14ac:dyDescent="0.25">
      <c r="A5" s="54" t="s">
        <v>502</v>
      </c>
      <c r="B5" s="24"/>
      <c r="C5" s="54" t="s">
        <v>503</v>
      </c>
      <c r="D5" s="55">
        <f>D7+D15</f>
        <v>266327996</v>
      </c>
      <c r="E5" s="55">
        <f t="shared" ref="E5:F5" si="0">E7+E15</f>
        <v>46999058</v>
      </c>
      <c r="F5" s="55">
        <f t="shared" si="0"/>
        <v>313327054</v>
      </c>
      <c r="G5" s="55">
        <f>G7+G15</f>
        <v>266327996</v>
      </c>
      <c r="H5" s="55">
        <f>H7+H15</f>
        <v>46999058</v>
      </c>
      <c r="I5" s="55">
        <f>I7+I15</f>
        <v>313327054</v>
      </c>
      <c r="J5" s="55"/>
      <c r="K5" s="55"/>
      <c r="L5" s="22"/>
      <c r="M5" s="22"/>
      <c r="N5" s="22"/>
      <c r="O5" s="22"/>
      <c r="P5" s="22"/>
      <c r="Q5" s="22"/>
      <c r="R5" s="22"/>
      <c r="S5" s="22"/>
      <c r="T5" s="431"/>
    </row>
    <row r="6" spans="1:21" x14ac:dyDescent="0.25">
      <c r="A6" s="21" t="s">
        <v>401</v>
      </c>
      <c r="B6" s="76"/>
      <c r="C6" s="56"/>
      <c r="D6" s="57">
        <f>D5-D4</f>
        <v>0</v>
      </c>
      <c r="E6" s="57">
        <f t="shared" ref="E6:F6" si="1">E5-E4</f>
        <v>0</v>
      </c>
      <c r="F6" s="57">
        <f t="shared" si="1"/>
        <v>0</v>
      </c>
      <c r="G6" s="57">
        <f>G5-G4</f>
        <v>0</v>
      </c>
      <c r="H6" s="57">
        <f>H5-H4</f>
        <v>1</v>
      </c>
      <c r="I6" s="57">
        <f>I5-I4</f>
        <v>1</v>
      </c>
      <c r="J6" s="57"/>
      <c r="K6" s="57"/>
      <c r="L6" s="21"/>
      <c r="M6" s="21"/>
      <c r="N6" s="21"/>
      <c r="O6" s="21"/>
      <c r="P6" s="21"/>
      <c r="Q6" s="21"/>
      <c r="R6" s="21"/>
      <c r="S6" s="21"/>
      <c r="T6" s="431"/>
    </row>
    <row r="7" spans="1:21" ht="45" x14ac:dyDescent="0.25">
      <c r="A7" s="58" t="s">
        <v>496</v>
      </c>
      <c r="B7" s="60"/>
      <c r="C7" s="58" t="s">
        <v>402</v>
      </c>
      <c r="D7" s="59">
        <f t="shared" ref="D7:I7" si="2">SUM(D8:D14)</f>
        <v>188731176</v>
      </c>
      <c r="E7" s="59">
        <f t="shared" si="2"/>
        <v>0</v>
      </c>
      <c r="F7" s="59">
        <f t="shared" si="2"/>
        <v>188731176</v>
      </c>
      <c r="G7" s="59">
        <f t="shared" si="2"/>
        <v>188731176</v>
      </c>
      <c r="H7" s="59">
        <f t="shared" si="2"/>
        <v>0</v>
      </c>
      <c r="I7" s="59">
        <f t="shared" si="2"/>
        <v>188731176</v>
      </c>
      <c r="J7" s="58"/>
      <c r="K7" s="58"/>
      <c r="L7" s="60"/>
      <c r="M7" s="60"/>
      <c r="N7" s="58"/>
      <c r="O7" s="58"/>
      <c r="P7" s="60"/>
      <c r="Q7" s="60"/>
      <c r="R7" s="60"/>
      <c r="S7" s="60"/>
      <c r="T7" s="432"/>
    </row>
    <row r="8" spans="1:21" ht="45" x14ac:dyDescent="0.25">
      <c r="A8" s="56">
        <f>D8/D7</f>
        <v>0.61999999936417505</v>
      </c>
      <c r="B8" s="76">
        <v>189</v>
      </c>
      <c r="C8" s="56" t="s">
        <v>480</v>
      </c>
      <c r="D8" s="61">
        <v>117013329</v>
      </c>
      <c r="E8" s="57">
        <v>0</v>
      </c>
      <c r="F8" s="62">
        <v>117013329</v>
      </c>
      <c r="G8" s="62">
        <f>ROUND(A8*$A$12,0)</f>
        <v>46500729</v>
      </c>
      <c r="H8" s="101">
        <f>I8-G8</f>
        <v>0</v>
      </c>
      <c r="I8" s="62">
        <v>46500729</v>
      </c>
      <c r="J8" s="152" t="s">
        <v>493</v>
      </c>
      <c r="K8" s="63" t="s">
        <v>516</v>
      </c>
      <c r="L8" s="226">
        <v>2518</v>
      </c>
      <c r="M8" s="227">
        <v>27</v>
      </c>
      <c r="N8" s="211" t="s">
        <v>616</v>
      </c>
      <c r="O8" s="63" t="s">
        <v>530</v>
      </c>
      <c r="P8" s="225">
        <v>0</v>
      </c>
      <c r="Q8" s="226">
        <v>3306</v>
      </c>
      <c r="R8" s="227">
        <v>0</v>
      </c>
      <c r="S8" s="227">
        <v>275</v>
      </c>
      <c r="T8" s="429" t="s">
        <v>599</v>
      </c>
      <c r="U8" s="47"/>
    </row>
    <row r="9" spans="1:21" ht="105" x14ac:dyDescent="0.25">
      <c r="A9" s="56">
        <f>D9/D7</f>
        <v>6.0000002331358333E-2</v>
      </c>
      <c r="B9" s="76">
        <v>191</v>
      </c>
      <c r="C9" s="56" t="s">
        <v>481</v>
      </c>
      <c r="D9" s="61">
        <v>11323871</v>
      </c>
      <c r="E9" s="57">
        <v>0</v>
      </c>
      <c r="F9" s="62">
        <v>11323871</v>
      </c>
      <c r="G9" s="62">
        <f>ROUND(A9*$A$12,0)</f>
        <v>4500071</v>
      </c>
      <c r="H9" s="101">
        <f t="shared" ref="H9:H13" si="3">I9-G9</f>
        <v>0</v>
      </c>
      <c r="I9" s="62">
        <v>4500071</v>
      </c>
      <c r="J9" s="153" t="s">
        <v>494</v>
      </c>
      <c r="K9" s="21" t="s">
        <v>516</v>
      </c>
      <c r="L9" s="242">
        <v>1259</v>
      </c>
      <c r="M9" s="227">
        <v>27</v>
      </c>
      <c r="N9" s="222" t="s">
        <v>617</v>
      </c>
      <c r="O9" s="21" t="s">
        <v>541</v>
      </c>
      <c r="P9" s="225">
        <v>0</v>
      </c>
      <c r="Q9" s="228">
        <v>335177237</v>
      </c>
      <c r="R9" s="227">
        <v>0</v>
      </c>
      <c r="S9" s="100">
        <v>71993582</v>
      </c>
      <c r="T9" s="252" t="s">
        <v>600</v>
      </c>
      <c r="U9" s="47"/>
    </row>
    <row r="10" spans="1:21" ht="45" x14ac:dyDescent="0.25">
      <c r="A10" s="56">
        <f>D10/D7</f>
        <v>0.31999999830446668</v>
      </c>
      <c r="B10" s="76">
        <v>193</v>
      </c>
      <c r="C10" s="21" t="s">
        <v>482</v>
      </c>
      <c r="D10" s="61">
        <v>60393976</v>
      </c>
      <c r="E10" s="57">
        <v>0</v>
      </c>
      <c r="F10" s="62">
        <v>60393976</v>
      </c>
      <c r="G10" s="62">
        <f>ROUND(A10*$A$12,0)</f>
        <v>24000376</v>
      </c>
      <c r="H10" s="101">
        <f t="shared" si="3"/>
        <v>0</v>
      </c>
      <c r="I10" s="62">
        <v>24000376</v>
      </c>
      <c r="J10" s="222" t="s">
        <v>505</v>
      </c>
      <c r="K10" s="21" t="s">
        <v>516</v>
      </c>
      <c r="L10" s="242">
        <v>1259</v>
      </c>
      <c r="M10" s="227">
        <v>27</v>
      </c>
      <c r="N10" s="21"/>
      <c r="O10" s="21"/>
      <c r="P10" s="224"/>
      <c r="Q10" s="229"/>
      <c r="R10" s="229"/>
      <c r="S10" s="229"/>
      <c r="T10" s="21" t="s">
        <v>558</v>
      </c>
      <c r="U10" s="47"/>
    </row>
    <row r="11" spans="1:21" ht="60" x14ac:dyDescent="0.25">
      <c r="A11" s="21"/>
      <c r="B11" s="76">
        <v>188</v>
      </c>
      <c r="C11" s="21" t="s">
        <v>487</v>
      </c>
      <c r="D11" s="21"/>
      <c r="E11" s="57"/>
      <c r="F11" s="21"/>
      <c r="G11" s="25">
        <v>88730000</v>
      </c>
      <c r="H11" s="101">
        <f t="shared" si="3"/>
        <v>0</v>
      </c>
      <c r="I11" s="25">
        <v>88730000</v>
      </c>
      <c r="J11" s="23" t="s">
        <v>495</v>
      </c>
      <c r="K11" s="21" t="s">
        <v>516</v>
      </c>
      <c r="L11" s="242">
        <v>2582</v>
      </c>
      <c r="M11" s="227">
        <v>0</v>
      </c>
      <c r="N11" s="398" t="s">
        <v>618</v>
      </c>
      <c r="O11" s="56" t="s">
        <v>516</v>
      </c>
      <c r="P11" s="230">
        <v>0</v>
      </c>
      <c r="Q11" s="226">
        <v>1675</v>
      </c>
      <c r="R11" s="227">
        <v>0</v>
      </c>
      <c r="S11" s="227">
        <v>0</v>
      </c>
      <c r="T11" s="65" t="s">
        <v>571</v>
      </c>
      <c r="U11" s="47"/>
    </row>
    <row r="12" spans="1:21" ht="90" x14ac:dyDescent="0.25">
      <c r="A12" s="28">
        <f>D7-G11-G12-G13</f>
        <v>75001176</v>
      </c>
      <c r="B12" s="76">
        <v>190</v>
      </c>
      <c r="C12" s="21" t="s">
        <v>489</v>
      </c>
      <c r="D12" s="61"/>
      <c r="E12" s="57"/>
      <c r="F12" s="62"/>
      <c r="G12" s="62">
        <v>10000000</v>
      </c>
      <c r="H12" s="101">
        <f t="shared" si="3"/>
        <v>0</v>
      </c>
      <c r="I12" s="62">
        <v>10000000</v>
      </c>
      <c r="J12" s="73" t="s">
        <v>622</v>
      </c>
      <c r="K12" s="21" t="s">
        <v>516</v>
      </c>
      <c r="L12" s="242">
        <v>1122</v>
      </c>
      <c r="M12" s="243">
        <f>G10*20/($G$8+$G$9+$G$10)+G13*7/($G$11+$G$12+$G$13)</f>
        <v>7.3232391655252984</v>
      </c>
      <c r="N12" s="56"/>
      <c r="O12" s="56"/>
      <c r="P12" s="224"/>
      <c r="Q12" s="224"/>
      <c r="R12" s="224"/>
      <c r="S12" s="224"/>
      <c r="T12" s="56" t="s">
        <v>601</v>
      </c>
    </row>
    <row r="13" spans="1:21" ht="75" customHeight="1" x14ac:dyDescent="0.25">
      <c r="A13" s="25"/>
      <c r="B13" s="76">
        <v>192</v>
      </c>
      <c r="C13" s="21" t="s">
        <v>557</v>
      </c>
      <c r="D13" s="61"/>
      <c r="E13" s="57"/>
      <c r="F13" s="62"/>
      <c r="G13" s="62">
        <v>15000000</v>
      </c>
      <c r="H13" s="101">
        <f t="shared" si="3"/>
        <v>0</v>
      </c>
      <c r="I13" s="62">
        <v>15000000</v>
      </c>
      <c r="J13" s="73" t="s">
        <v>621</v>
      </c>
      <c r="K13" s="21" t="s">
        <v>516</v>
      </c>
      <c r="L13" s="242">
        <v>2074</v>
      </c>
      <c r="M13" s="243">
        <f>G8*20/($G$8+$G$9+$G$10)+G11*7/($G$11+$G$12+$G$13)</f>
        <v>17.861267883238348</v>
      </c>
      <c r="N13" s="56"/>
      <c r="O13" s="56"/>
      <c r="P13" s="224"/>
      <c r="Q13" s="224"/>
      <c r="R13" s="224"/>
      <c r="S13" s="224"/>
      <c r="T13" s="56" t="s">
        <v>602</v>
      </c>
    </row>
    <row r="14" spans="1:21" ht="60" x14ac:dyDescent="0.25">
      <c r="A14" s="28"/>
      <c r="B14" s="76"/>
      <c r="C14" s="21"/>
      <c r="D14" s="61"/>
      <c r="E14" s="21"/>
      <c r="F14" s="62"/>
      <c r="G14" s="62"/>
      <c r="H14" s="62"/>
      <c r="I14" s="62"/>
      <c r="J14" s="73" t="s">
        <v>620</v>
      </c>
      <c r="K14" s="21" t="s">
        <v>516</v>
      </c>
      <c r="L14" s="242">
        <v>204</v>
      </c>
      <c r="M14" s="243">
        <f>G9*20/($G$8+$G$9+$G$10)+G12*7/($G$11+$G$12+$G$13)</f>
        <v>1.815492951236356</v>
      </c>
      <c r="N14" s="56"/>
      <c r="O14" s="56"/>
      <c r="P14" s="224"/>
      <c r="Q14" s="224"/>
      <c r="R14" s="224"/>
      <c r="S14" s="224"/>
      <c r="T14" s="56" t="s">
        <v>603</v>
      </c>
    </row>
    <row r="15" spans="1:21" ht="45" x14ac:dyDescent="0.25">
      <c r="A15" s="58" t="s">
        <v>491</v>
      </c>
      <c r="B15" s="60"/>
      <c r="C15" s="58" t="s">
        <v>406</v>
      </c>
      <c r="D15" s="59">
        <f>SUM(D16)</f>
        <v>77596820</v>
      </c>
      <c r="E15" s="59">
        <f t="shared" ref="E15:F15" si="4">SUM(E16)</f>
        <v>46999058</v>
      </c>
      <c r="F15" s="59">
        <f t="shared" si="4"/>
        <v>124595878</v>
      </c>
      <c r="G15" s="59">
        <v>77596820</v>
      </c>
      <c r="H15" s="59">
        <v>46999058</v>
      </c>
      <c r="I15" s="59">
        <v>124595878</v>
      </c>
      <c r="J15" s="59"/>
      <c r="K15" s="59"/>
      <c r="L15" s="64"/>
      <c r="M15" s="64"/>
      <c r="N15" s="59"/>
      <c r="O15" s="59"/>
      <c r="P15" s="231"/>
      <c r="Q15" s="231"/>
      <c r="R15" s="231"/>
      <c r="S15" s="231"/>
    </row>
    <row r="16" spans="1:21" ht="75" x14ac:dyDescent="0.25">
      <c r="A16" s="56"/>
      <c r="B16" s="76">
        <v>188</v>
      </c>
      <c r="C16" s="56" t="s">
        <v>479</v>
      </c>
      <c r="D16" s="61">
        <v>77596820</v>
      </c>
      <c r="E16" s="57">
        <f t="shared" ref="E16" si="5">F16-D16</f>
        <v>46999058</v>
      </c>
      <c r="F16" s="62">
        <v>124595878</v>
      </c>
      <c r="G16" s="62">
        <v>77596820</v>
      </c>
      <c r="H16" s="102">
        <v>46999057</v>
      </c>
      <c r="I16" s="102">
        <v>124595877</v>
      </c>
      <c r="J16" s="182" t="s">
        <v>619</v>
      </c>
      <c r="K16" s="21" t="s">
        <v>516</v>
      </c>
      <c r="L16" s="224">
        <v>2</v>
      </c>
      <c r="M16" s="224"/>
      <c r="N16" s="182" t="s">
        <v>623</v>
      </c>
      <c r="O16" s="21" t="s">
        <v>537</v>
      </c>
      <c r="P16" s="232">
        <v>6659098</v>
      </c>
      <c r="Q16" s="232">
        <v>3587204</v>
      </c>
      <c r="R16" s="232">
        <v>6659098</v>
      </c>
      <c r="S16" s="232">
        <v>3587204</v>
      </c>
      <c r="U16" s="48"/>
    </row>
    <row r="18" spans="2:19" x14ac:dyDescent="0.25">
      <c r="B18" s="287"/>
      <c r="G18" s="18"/>
    </row>
    <row r="23" spans="2:19" x14ac:dyDescent="0.25">
      <c r="P23" s="46"/>
    </row>
    <row r="24" spans="2:19" x14ac:dyDescent="0.25">
      <c r="P24" s="46"/>
    </row>
    <row r="25" spans="2:19" x14ac:dyDescent="0.25">
      <c r="P25" s="46"/>
    </row>
    <row r="29" spans="2:19" x14ac:dyDescent="0.25">
      <c r="O29" s="15"/>
      <c r="Q29" s="46"/>
      <c r="R29" s="46"/>
      <c r="S29" s="46"/>
    </row>
    <row r="31" spans="2:19" x14ac:dyDescent="0.25">
      <c r="O31" s="15"/>
      <c r="Q31" s="46"/>
      <c r="R31" s="46"/>
      <c r="S31" s="46"/>
    </row>
  </sheetData>
  <autoFilter ref="A2:Q16" xr:uid="{19E7F5A8-4D88-4939-8B06-97D05F56B9D8}"/>
  <pageMargins left="0.7" right="0.7" top="0.75" bottom="0.75" header="0.3" footer="0.3"/>
  <ignoredErrors>
    <ignoredError sqref="I7"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cadru initial</vt:lpstr>
      <vt:lpstr>P1 (GJ)</vt:lpstr>
      <vt:lpstr>P2 (HD)</vt:lpstr>
      <vt:lpstr>P3 (DJ)</vt:lpstr>
      <vt:lpstr>P4 (GL)</vt:lpstr>
      <vt:lpstr>P5 (PH)</vt:lpstr>
      <vt:lpstr>P6 (MS)</vt:lpstr>
      <vt:lpstr>P7 (AT)</vt:lpstr>
      <vt:lpstr>P8 (STEP)</vt:lpstr>
      <vt:lpstr>P 9 (Locuinte accesibile)</vt:lpstr>
      <vt:lpstr>Coduri interventie</vt:lpstr>
      <vt:lpstr>Cod indicatori</vt:lpstr>
      <vt:lpstr>SCHEMA PROGRAMULUI</vt:lpstr>
      <vt:lpstr>'P1 (GJ)'!Print_Area</vt:lpstr>
      <vt:lpstr>'P3 (DJ)'!Print_Area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2026-02-26T12:38:21Z</dcterms:modified>
</cp:coreProperties>
</file>